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5" yWindow="75" windowWidth="9915" windowHeight="72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Лист1!$A$1:$W$49</definedName>
  </definedNames>
  <calcPr calcId="145621"/>
</workbook>
</file>

<file path=xl/calcChain.xml><?xml version="1.0" encoding="utf-8"?>
<calcChain xmlns="http://schemas.openxmlformats.org/spreadsheetml/2006/main">
  <c r="V14" i="1" l="1"/>
  <c r="V4" i="1"/>
  <c r="V2" i="1"/>
  <c r="V3" i="1"/>
  <c r="V20" i="1"/>
  <c r="V36" i="1"/>
  <c r="V13" i="1"/>
  <c r="V42" i="1"/>
  <c r="V12" i="1"/>
  <c r="V34" i="1"/>
  <c r="V21" i="1"/>
  <c r="V19" i="1"/>
  <c r="V25" i="1"/>
  <c r="V5" i="1"/>
  <c r="V17" i="1"/>
  <c r="V26" i="1"/>
  <c r="V22" i="1"/>
  <c r="V6" i="1"/>
  <c r="V11" i="1"/>
  <c r="V37" i="1"/>
  <c r="V32" i="1"/>
  <c r="V7" i="1"/>
  <c r="V28" i="1"/>
  <c r="V46" i="1"/>
  <c r="V10" i="1"/>
  <c r="V16" i="1"/>
  <c r="V24" i="1"/>
  <c r="V40" i="1"/>
  <c r="V30" i="1"/>
  <c r="V41" i="1"/>
  <c r="V23" i="1"/>
  <c r="V39" i="1"/>
  <c r="V9" i="1"/>
  <c r="V18" i="1"/>
  <c r="V49" i="1"/>
  <c r="V48" i="1"/>
  <c r="V43" i="1"/>
  <c r="V29" i="1"/>
  <c r="V33" i="1"/>
  <c r="V15" i="1"/>
  <c r="V44" i="1"/>
  <c r="V38" i="1"/>
  <c r="V31" i="1"/>
  <c r="V27" i="1"/>
  <c r="V8" i="1"/>
  <c r="V47" i="1"/>
  <c r="V45" i="1"/>
  <c r="V35" i="1"/>
  <c r="K3" i="1"/>
  <c r="K6" i="1"/>
  <c r="K5" i="1"/>
  <c r="K4" i="1"/>
  <c r="K23" i="1"/>
  <c r="K2" i="1"/>
  <c r="K9" i="1"/>
  <c r="K15" i="1"/>
  <c r="K12" i="1"/>
  <c r="K8" i="1"/>
  <c r="K7" i="1"/>
  <c r="K33" i="1"/>
  <c r="K10" i="1"/>
  <c r="K11" i="1"/>
  <c r="K26" i="1"/>
  <c r="K29" i="1"/>
  <c r="K21" i="1"/>
  <c r="K19" i="1"/>
  <c r="K24" i="1"/>
  <c r="K18" i="1"/>
  <c r="K17" i="1"/>
  <c r="K20" i="1"/>
  <c r="K16" i="1"/>
  <c r="K35" i="1"/>
  <c r="K13" i="1"/>
  <c r="K27" i="1"/>
  <c r="K14" i="1"/>
  <c r="K22" i="1"/>
  <c r="K39" i="1"/>
  <c r="K34" i="1"/>
  <c r="K25" i="1"/>
  <c r="K30" i="1"/>
  <c r="K48" i="1"/>
  <c r="K44" i="1"/>
  <c r="K28" i="1"/>
  <c r="K32" i="1"/>
  <c r="K41" i="1"/>
  <c r="K31" i="1"/>
  <c r="K37" i="1"/>
  <c r="K45" i="1"/>
  <c r="K36" i="1"/>
  <c r="K38" i="1"/>
  <c r="K43" i="1"/>
  <c r="K40" i="1"/>
  <c r="K46" i="1"/>
  <c r="K47" i="1"/>
  <c r="K42" i="1"/>
  <c r="K49" i="1"/>
  <c r="N47" i="1" l="1"/>
  <c r="N49" i="1" l="1"/>
  <c r="F49" i="1"/>
  <c r="F12" i="1"/>
  <c r="Q37" i="1" l="1"/>
  <c r="N37" i="1"/>
  <c r="L37" i="1"/>
  <c r="I37" i="1"/>
  <c r="G37" i="1"/>
  <c r="D37" i="1"/>
  <c r="N46" i="1"/>
  <c r="L46" i="1"/>
  <c r="I46" i="1"/>
  <c r="G46" i="1"/>
  <c r="D46" i="1"/>
  <c r="N31" i="1"/>
  <c r="L31" i="1"/>
  <c r="I31" i="1"/>
  <c r="G31" i="1"/>
  <c r="D31" i="1"/>
  <c r="Q17" i="1"/>
  <c r="N17" i="1"/>
  <c r="L17" i="1"/>
  <c r="I17" i="1"/>
  <c r="G17" i="1"/>
  <c r="D17" i="1"/>
  <c r="Q32" i="1"/>
  <c r="N32" i="1"/>
  <c r="L32" i="1"/>
  <c r="I32" i="1"/>
  <c r="G32" i="1"/>
  <c r="D32" i="1"/>
  <c r="L47" i="1"/>
  <c r="I47" i="1"/>
  <c r="G47" i="1"/>
  <c r="D47" i="1"/>
  <c r="Q40" i="1"/>
  <c r="N40" i="1"/>
  <c r="L40" i="1"/>
  <c r="I40" i="1"/>
  <c r="G40" i="1"/>
  <c r="D40" i="1"/>
  <c r="N42" i="1"/>
  <c r="L42" i="1"/>
  <c r="I42" i="1"/>
  <c r="G42" i="1"/>
  <c r="D42" i="1"/>
  <c r="L49" i="1"/>
  <c r="I49" i="1"/>
  <c r="G49" i="1"/>
  <c r="D49" i="1"/>
  <c r="N45" i="1"/>
  <c r="L45" i="1"/>
  <c r="I45" i="1"/>
  <c r="G45" i="1"/>
  <c r="D45" i="1"/>
  <c r="Q35" i="1"/>
  <c r="N35" i="1"/>
  <c r="L35" i="1"/>
  <c r="I35" i="1"/>
  <c r="G35" i="1"/>
  <c r="D35" i="1"/>
  <c r="N38" i="1"/>
  <c r="L38" i="1"/>
  <c r="I38" i="1"/>
  <c r="G38" i="1"/>
  <c r="D38" i="1"/>
  <c r="Q14" i="1"/>
  <c r="N14" i="1"/>
  <c r="L14" i="1"/>
  <c r="I14" i="1"/>
  <c r="G14" i="1"/>
  <c r="D14" i="1"/>
  <c r="N43" i="1"/>
  <c r="L43" i="1"/>
  <c r="I43" i="1"/>
  <c r="G43" i="1"/>
  <c r="D43" i="1"/>
  <c r="N22" i="1"/>
  <c r="L22" i="1"/>
  <c r="I22" i="1"/>
  <c r="G22" i="1"/>
  <c r="D22" i="1"/>
  <c r="Q39" i="1"/>
  <c r="N39" i="1"/>
  <c r="L39" i="1"/>
  <c r="I39" i="1"/>
  <c r="G39" i="1"/>
  <c r="D39" i="1"/>
  <c r="N48" i="1"/>
  <c r="L48" i="1"/>
  <c r="I48" i="1"/>
  <c r="G48" i="1"/>
  <c r="D48" i="1"/>
  <c r="Q18" i="1"/>
  <c r="N18" i="1"/>
  <c r="L18" i="1"/>
  <c r="I18" i="1"/>
  <c r="G18" i="1"/>
  <c r="D18" i="1"/>
  <c r="N29" i="1"/>
  <c r="L29" i="1"/>
  <c r="I29" i="1"/>
  <c r="G29" i="1"/>
  <c r="D29" i="1"/>
  <c r="N34" i="1"/>
  <c r="L34" i="1"/>
  <c r="I34" i="1"/>
  <c r="G34" i="1"/>
  <c r="D34" i="1"/>
  <c r="N33" i="1"/>
  <c r="L33" i="1"/>
  <c r="I33" i="1"/>
  <c r="G33" i="1"/>
  <c r="D33" i="1"/>
  <c r="Q24" i="1"/>
  <c r="N24" i="1"/>
  <c r="L24" i="1"/>
  <c r="I24" i="1"/>
  <c r="G24" i="1"/>
  <c r="D24" i="1"/>
  <c r="Q20" i="1"/>
  <c r="N20" i="1"/>
  <c r="L20" i="1"/>
  <c r="I20" i="1"/>
  <c r="G20" i="1"/>
  <c r="D20" i="1"/>
  <c r="Q41" i="1"/>
  <c r="N41" i="1"/>
  <c r="L41" i="1"/>
  <c r="I41" i="1"/>
  <c r="G41" i="1"/>
  <c r="D41" i="1"/>
  <c r="Q3" i="1"/>
  <c r="N3" i="1"/>
  <c r="L3" i="1"/>
  <c r="I3" i="1"/>
  <c r="G3" i="1"/>
  <c r="D3" i="1"/>
  <c r="N16" i="1"/>
  <c r="L16" i="1"/>
  <c r="I16" i="1"/>
  <c r="G16" i="1"/>
  <c r="D16" i="1"/>
  <c r="N44" i="1"/>
  <c r="L44" i="1"/>
  <c r="I44" i="1"/>
  <c r="G44" i="1"/>
  <c r="D44" i="1"/>
  <c r="Q7" i="1"/>
  <c r="N7" i="1"/>
  <c r="L7" i="1"/>
  <c r="I7" i="1"/>
  <c r="G7" i="1"/>
  <c r="D7" i="1"/>
  <c r="N27" i="1"/>
  <c r="L27" i="1"/>
  <c r="I27" i="1"/>
  <c r="G27" i="1"/>
  <c r="D27" i="1"/>
  <c r="Q5" i="1"/>
  <c r="N5" i="1"/>
  <c r="L5" i="1"/>
  <c r="I5" i="1"/>
  <c r="G5" i="1"/>
  <c r="D5" i="1"/>
  <c r="Q26" i="1"/>
  <c r="N26" i="1"/>
  <c r="L26" i="1"/>
  <c r="I26" i="1"/>
  <c r="G26" i="1"/>
  <c r="D26" i="1"/>
  <c r="Q9" i="1"/>
  <c r="N9" i="1"/>
  <c r="L9" i="1"/>
  <c r="I9" i="1"/>
  <c r="G9" i="1"/>
  <c r="D9" i="1"/>
  <c r="N21" i="1"/>
  <c r="L21" i="1"/>
  <c r="I21" i="1"/>
  <c r="G21" i="1"/>
  <c r="D21" i="1"/>
  <c r="N10" i="1"/>
  <c r="L10" i="1"/>
  <c r="I10" i="1"/>
  <c r="G10" i="1"/>
  <c r="D10" i="1"/>
  <c r="Q23" i="1"/>
  <c r="N23" i="1"/>
  <c r="L23" i="1"/>
  <c r="I23" i="1"/>
  <c r="G23" i="1"/>
  <c r="D23" i="1"/>
  <c r="N12" i="1"/>
  <c r="L12" i="1"/>
  <c r="I12" i="1"/>
  <c r="G12" i="1"/>
  <c r="D12" i="1"/>
  <c r="Q4" i="1"/>
  <c r="N4" i="1"/>
  <c r="L4" i="1"/>
  <c r="I4" i="1"/>
  <c r="G4" i="1"/>
  <c r="D4" i="1"/>
  <c r="Q30" i="1"/>
  <c r="N30" i="1"/>
  <c r="L30" i="1"/>
  <c r="I30" i="1"/>
  <c r="G30" i="1"/>
  <c r="D30" i="1"/>
  <c r="N36" i="1"/>
  <c r="L36" i="1"/>
  <c r="I36" i="1"/>
  <c r="G36" i="1"/>
  <c r="D36" i="1"/>
  <c r="N19" i="1"/>
  <c r="L19" i="1"/>
  <c r="I19" i="1"/>
  <c r="G19" i="1"/>
  <c r="D19" i="1"/>
  <c r="N11" i="1"/>
  <c r="L11" i="1"/>
  <c r="I11" i="1"/>
  <c r="G11" i="1"/>
  <c r="D11" i="1"/>
  <c r="N13" i="1"/>
  <c r="L13" i="1"/>
  <c r="I13" i="1"/>
  <c r="G13" i="1"/>
  <c r="D13" i="1"/>
  <c r="N28" i="1"/>
  <c r="L28" i="1"/>
  <c r="I28" i="1"/>
  <c r="G28" i="1"/>
  <c r="D28" i="1"/>
  <c r="N8" i="1"/>
  <c r="L8" i="1"/>
  <c r="I8" i="1"/>
  <c r="G8" i="1"/>
  <c r="D8" i="1"/>
  <c r="N15" i="1"/>
  <c r="L15" i="1"/>
  <c r="I15" i="1"/>
  <c r="G15" i="1"/>
  <c r="D15" i="1"/>
  <c r="N25" i="1"/>
  <c r="L25" i="1"/>
  <c r="I25" i="1"/>
  <c r="G25" i="1"/>
  <c r="D25" i="1"/>
  <c r="Q2" i="1"/>
  <c r="N2" i="1"/>
  <c r="L2" i="1"/>
  <c r="I2" i="1"/>
  <c r="G2" i="1"/>
  <c r="D2" i="1"/>
  <c r="Q6" i="1"/>
  <c r="N6" i="1"/>
  <c r="L6" i="1"/>
  <c r="I6" i="1"/>
  <c r="G6" i="1"/>
  <c r="D6" i="1"/>
  <c r="R2" i="1" l="1"/>
  <c r="R6" i="1"/>
  <c r="R30" i="1"/>
  <c r="R23" i="1"/>
  <c r="R41" i="1"/>
  <c r="R39" i="1"/>
  <c r="R35" i="1"/>
  <c r="R40" i="1"/>
  <c r="R32" i="1"/>
  <c r="R5" i="1"/>
  <c r="R49" i="1"/>
  <c r="R13" i="1"/>
  <c r="R29" i="1"/>
  <c r="R31" i="1"/>
  <c r="R44" i="1"/>
  <c r="R25" i="1"/>
  <c r="R8" i="1"/>
  <c r="R48" i="1"/>
  <c r="R46" i="1"/>
  <c r="R21" i="1"/>
  <c r="R33" i="1"/>
  <c r="R10" i="1"/>
  <c r="R45" i="1"/>
  <c r="R16" i="1"/>
  <c r="R3" i="1"/>
  <c r="R36" i="1"/>
  <c r="R42" i="1"/>
  <c r="R15" i="1"/>
  <c r="R28" i="1"/>
  <c r="R38" i="1"/>
  <c r="R12" i="1"/>
  <c r="R47" i="1"/>
  <c r="R43" i="1"/>
  <c r="R11" i="1"/>
  <c r="R34" i="1"/>
  <c r="R22" i="1"/>
  <c r="R19" i="1"/>
  <c r="R27" i="1"/>
  <c r="R26" i="1"/>
  <c r="R7" i="1"/>
  <c r="R24" i="1"/>
  <c r="R37" i="1"/>
  <c r="R4" i="1"/>
  <c r="R9" i="1"/>
  <c r="R20" i="1"/>
  <c r="R18" i="1"/>
  <c r="R14" i="1"/>
  <c r="R17" i="1"/>
</calcChain>
</file>

<file path=xl/sharedStrings.xml><?xml version="1.0" encoding="utf-8"?>
<sst xmlns="http://schemas.openxmlformats.org/spreadsheetml/2006/main" count="119" uniqueCount="65">
  <si>
    <t>Общая численность населения Российской Федерации в возрасте от 6 лет, проживающего на территории субъекта Российской Федерации</t>
  </si>
  <si>
    <t>Население, зарегистрированное в электронной базе данных, относящихся к реализации комплекса ГТО</t>
  </si>
  <si>
    <t xml:space="preserve">Доля населения, зарегистрированного в электронной базе данных, от общей численности населения в возрасте от 6 лет, проживающего на территории субъекта Российской Федерации </t>
  </si>
  <si>
    <t>Баллы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</si>
  <si>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субъекта Российской Федерации зарегистрированного в электронной базе данных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</si>
  <si>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</si>
  <si>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</si>
  <si>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Доля населения, проживающего на территории субъекта Российской Федерации, в возрасте от 6 лет, приходящегося на одну ставку штатного расписания центров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</si>
  <si>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ВСЕГО БАЛЛОВ</t>
  </si>
  <si>
    <t>Место в рейтинге</t>
  </si>
  <si>
    <t>Кишертский муниципальный район</t>
  </si>
  <si>
    <t>Ильинский муниципальный район</t>
  </si>
  <si>
    <t>Сивинский муниципальный район</t>
  </si>
  <si>
    <t>Гайнский муниципальный район</t>
  </si>
  <si>
    <t>Лысьвенский городской округ</t>
  </si>
  <si>
    <t>Осинский муниципальный район</t>
  </si>
  <si>
    <t>Усольский муниципальный район</t>
  </si>
  <si>
    <t>Уинский муниципальный район</t>
  </si>
  <si>
    <t>Ординский муниципальный район</t>
  </si>
  <si>
    <t>Верещагинский муниципальный район</t>
  </si>
  <si>
    <t>Очерский муниципальный район</t>
  </si>
  <si>
    <t>Чайковский муниципальный район</t>
  </si>
  <si>
    <t>Частинский муниципальный район</t>
  </si>
  <si>
    <t>Березовский муниципальный район</t>
  </si>
  <si>
    <t>Куединский муниципальный район</t>
  </si>
  <si>
    <t>Суксунский муниципальный район</t>
  </si>
  <si>
    <t>Чусовской муниципальный район</t>
  </si>
  <si>
    <t>Еловский муниципальный район</t>
  </si>
  <si>
    <t>Большесосновский муниципальный район</t>
  </si>
  <si>
    <t>Добрянский муниципальный район</t>
  </si>
  <si>
    <t>Косинский муниципальный район</t>
  </si>
  <si>
    <t>Оханский муниципальный район</t>
  </si>
  <si>
    <t>Краснокамский муниципальный район</t>
  </si>
  <si>
    <t>Чернушинский муниципальный район</t>
  </si>
  <si>
    <t>Бардымский муниципальный район</t>
  </si>
  <si>
    <t>Красновишерский муниципальный район</t>
  </si>
  <si>
    <t>Гремячинский муниципальный район</t>
  </si>
  <si>
    <t>Юрлинский муниципальный район</t>
  </si>
  <si>
    <t>Нытвенский муниципальный район</t>
  </si>
  <si>
    <t>Чердынский муниципальный район</t>
  </si>
  <si>
    <t>Соликамский муниципальный район</t>
  </si>
  <si>
    <t>Кунгурский муниципальный район</t>
  </si>
  <si>
    <t>Пермский муниципальный район</t>
  </si>
  <si>
    <t>Александровский муниципальный район</t>
  </si>
  <si>
    <t>Кочевский муниципальный район</t>
  </si>
  <si>
    <t>Юсьвинский муниципальный район</t>
  </si>
  <si>
    <t>Березниковский городской округ</t>
  </si>
  <si>
    <t>Кудымкарский муниципальный район</t>
  </si>
  <si>
    <t>Карагайский муниципальный район</t>
  </si>
  <si>
    <t>Кизеловский муниципальный район</t>
  </si>
  <si>
    <t>Горнозаводский муниципальный район</t>
  </si>
  <si>
    <t>Октябрьский муниципальный район</t>
  </si>
  <si>
    <t>Кудымкарский городской округ</t>
  </si>
  <si>
    <t>Наименование МО</t>
  </si>
  <si>
    <t>Город Пермь</t>
  </si>
  <si>
    <t>Город Губаха</t>
  </si>
  <si>
    <t xml:space="preserve"> ЗАТО Звездный</t>
  </si>
  <si>
    <t>Город Кунгур</t>
  </si>
  <si>
    <t>город Соликамск</t>
  </si>
  <si>
    <t xml:space="preserve"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</t>
  </si>
  <si>
    <t>Население, принявшее участие в выполнении нормативов испытаний (тестов) комплекса ГТО</t>
  </si>
  <si>
    <t xml:space="preserve">Общее количество знаков </t>
  </si>
  <si>
    <t>Доля населения, выполнившего нормативы испытаний (тестов) комплекса ГТО на знаки отличия, от общей численности населения проживающего на территории субъекта Российской Федерации в возрасте от 6 лет</t>
  </si>
  <si>
    <t>Количество опубликованных материалов по вопросам внедрения комплекса ГТО в муниципаольный и региональных средствах массовой информации за 2017 год</t>
  </si>
  <si>
    <t>Доля населения, принявшего участие в выполнении нормативов испытаний (тестов) комплекса ГТО, от численности населения проживающего на территории субъекта Российской Федерации в возрасте от 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</si>
</sst>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sz val="10"/>
      <name val="Arial"/>
      <family val="2"/>
    </font>
    <font>
      <sz val="9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0" fillId="0" borderId="1" xfId="0" applyNumberFormat="1" applyBorder="1"/>
    <xf numFmtId="0" fontId="3" fillId="0" borderId="0" xfId="0" applyFont="1"/>
    <xf numFmtId="10" fontId="3" fillId="0" borderId="0" xfId="0" applyNumberFormat="1" applyFont="1"/>
    <xf numFmtId="0" fontId="4" fillId="0" borderId="1" xfId="0" applyFont="1" applyFill="1" applyBorder="1" applyAlignment="1">
      <alignment horizontal="left" vertical="center" textRotation="180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10" fontId="6" fillId="0" borderId="1" xfId="0" applyNumberFormat="1" applyFont="1" applyFill="1" applyBorder="1"/>
    <xf numFmtId="0" fontId="6" fillId="3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/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/>
    <xf numFmtId="10" fontId="6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 textRotation="180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Лист2!$A$1:$A$48</c:f>
              <c:strCache>
                <c:ptCount val="48"/>
                <c:pt idx="0">
                  <c:v>Кудымкарский городской округ</c:v>
                </c:pt>
                <c:pt idx="1">
                  <c:v>Кочевский муниципальный район</c:v>
                </c:pt>
                <c:pt idx="2">
                  <c:v>Косинский муниципальный район</c:v>
                </c:pt>
                <c:pt idx="3">
                  <c:v>Юрлинский муниципальный район</c:v>
                </c:pt>
                <c:pt idx="4">
                  <c:v>Кизеловский муниципальный район</c:v>
                </c:pt>
                <c:pt idx="5">
                  <c:v>Горнозаводский муниципальный район</c:v>
                </c:pt>
                <c:pt idx="6">
                  <c:v>Юсьвинский муниципальный район</c:v>
                </c:pt>
                <c:pt idx="7">
                  <c:v>Октябрьский муниципальный район</c:v>
                </c:pt>
                <c:pt idx="8">
                  <c:v>Карагайский муниципальный район</c:v>
                </c:pt>
                <c:pt idx="9">
                  <c:v>Гремячинский муниципальный район</c:v>
                </c:pt>
                <c:pt idx="10">
                  <c:v>Кудымкарский муниципальный район</c:v>
                </c:pt>
                <c:pt idx="11">
                  <c:v>Еловский муниципальный район</c:v>
                </c:pt>
                <c:pt idx="12">
                  <c:v>Соликамский муниципальный район</c:v>
                </c:pt>
                <c:pt idx="13">
                  <c:v>Большесосновский муниципальный район</c:v>
                </c:pt>
                <c:pt idx="14">
                  <c:v>Александровский муниципальный район</c:v>
                </c:pt>
                <c:pt idx="15">
                  <c:v>Оханский муниципальный район</c:v>
                </c:pt>
                <c:pt idx="16">
                  <c:v>Чердынский муниципальный район</c:v>
                </c:pt>
                <c:pt idx="17">
                  <c:v> ЗАТО Звездный</c:v>
                </c:pt>
                <c:pt idx="18">
                  <c:v>Красновишерский муниципальный район</c:v>
                </c:pt>
                <c:pt idx="19">
                  <c:v>Частинский муниципальный район</c:v>
                </c:pt>
                <c:pt idx="20">
                  <c:v>Уинский муниципальный район</c:v>
                </c:pt>
                <c:pt idx="21">
                  <c:v>Березовский муниципальный район</c:v>
                </c:pt>
                <c:pt idx="22">
                  <c:v>Бардымский муниципальный район</c:v>
                </c:pt>
                <c:pt idx="23">
                  <c:v>Суксунский муниципальный район</c:v>
                </c:pt>
                <c:pt idx="24">
                  <c:v>Ординский муниципальный район</c:v>
                </c:pt>
                <c:pt idx="25">
                  <c:v>Гайнский муниципальный район</c:v>
                </c:pt>
                <c:pt idx="26">
                  <c:v>Кунгурский муниципальный район</c:v>
                </c:pt>
                <c:pt idx="27">
                  <c:v>Усольский муниципальный район</c:v>
                </c:pt>
                <c:pt idx="28">
                  <c:v>Куединский муниципальный район</c:v>
                </c:pt>
                <c:pt idx="29">
                  <c:v>Нытвенский муниципальный район</c:v>
                </c:pt>
                <c:pt idx="30">
                  <c:v>Сивинский муниципальный район</c:v>
                </c:pt>
                <c:pt idx="31">
                  <c:v>Очерский муниципальный район</c:v>
                </c:pt>
                <c:pt idx="32">
                  <c:v>Чернушинский муниципальный район</c:v>
                </c:pt>
                <c:pt idx="33">
                  <c:v>Ильинский муниципальный район</c:v>
                </c:pt>
                <c:pt idx="34">
                  <c:v>Кишертский муниципальный район</c:v>
                </c:pt>
                <c:pt idx="35">
                  <c:v>Город Кунгур</c:v>
                </c:pt>
                <c:pt idx="36">
                  <c:v>Осинский муниципальный район</c:v>
                </c:pt>
                <c:pt idx="37">
                  <c:v>Добрянский муниципальный район</c:v>
                </c:pt>
                <c:pt idx="38">
                  <c:v>Верещагинский муниципальный район</c:v>
                </c:pt>
                <c:pt idx="39">
                  <c:v>Березниковский городской округ</c:v>
                </c:pt>
                <c:pt idx="40">
                  <c:v>Пермский муниципальный район</c:v>
                </c:pt>
                <c:pt idx="41">
                  <c:v>Краснокамский муниципальный район</c:v>
                </c:pt>
                <c:pt idx="42">
                  <c:v>Чусовской муниципальный район</c:v>
                </c:pt>
                <c:pt idx="43">
                  <c:v>город Соликамск</c:v>
                </c:pt>
                <c:pt idx="44">
                  <c:v>Город Губаха</c:v>
                </c:pt>
                <c:pt idx="45">
                  <c:v>Чайковский муниципальный район</c:v>
                </c:pt>
                <c:pt idx="46">
                  <c:v>Лысьвенский городской округ</c:v>
                </c:pt>
                <c:pt idx="47">
                  <c:v>Город Пермь</c:v>
                </c:pt>
              </c:strCache>
            </c:strRef>
          </c:cat>
          <c:val>
            <c:numRef>
              <c:f>Лист2!$B$1:$B$48</c:f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invertIfNegative val="0"/>
          <c:cat>
            <c:strRef>
              <c:f>Лист2!$A$1:$A$48</c:f>
              <c:strCache>
                <c:ptCount val="48"/>
                <c:pt idx="0">
                  <c:v>Кудымкарский городской округ</c:v>
                </c:pt>
                <c:pt idx="1">
                  <c:v>Кочевский муниципальный район</c:v>
                </c:pt>
                <c:pt idx="2">
                  <c:v>Косинский муниципальный район</c:v>
                </c:pt>
                <c:pt idx="3">
                  <c:v>Юрлинский муниципальный район</c:v>
                </c:pt>
                <c:pt idx="4">
                  <c:v>Кизеловский муниципальный район</c:v>
                </c:pt>
                <c:pt idx="5">
                  <c:v>Горнозаводский муниципальный район</c:v>
                </c:pt>
                <c:pt idx="6">
                  <c:v>Юсьвинский муниципальный район</c:v>
                </c:pt>
                <c:pt idx="7">
                  <c:v>Октябрьский муниципальный район</c:v>
                </c:pt>
                <c:pt idx="8">
                  <c:v>Карагайский муниципальный район</c:v>
                </c:pt>
                <c:pt idx="9">
                  <c:v>Гремячинский муниципальный район</c:v>
                </c:pt>
                <c:pt idx="10">
                  <c:v>Кудымкарский муниципальный район</c:v>
                </c:pt>
                <c:pt idx="11">
                  <c:v>Еловский муниципальный район</c:v>
                </c:pt>
                <c:pt idx="12">
                  <c:v>Соликамский муниципальный район</c:v>
                </c:pt>
                <c:pt idx="13">
                  <c:v>Большесосновский муниципальный район</c:v>
                </c:pt>
                <c:pt idx="14">
                  <c:v>Александровский муниципальный район</c:v>
                </c:pt>
                <c:pt idx="15">
                  <c:v>Оханский муниципальный район</c:v>
                </c:pt>
                <c:pt idx="16">
                  <c:v>Чердынский муниципальный район</c:v>
                </c:pt>
                <c:pt idx="17">
                  <c:v> ЗАТО Звездный</c:v>
                </c:pt>
                <c:pt idx="18">
                  <c:v>Красновишерский муниципальный район</c:v>
                </c:pt>
                <c:pt idx="19">
                  <c:v>Частинский муниципальный район</c:v>
                </c:pt>
                <c:pt idx="20">
                  <c:v>Уинский муниципальный район</c:v>
                </c:pt>
                <c:pt idx="21">
                  <c:v>Березовский муниципальный район</c:v>
                </c:pt>
                <c:pt idx="22">
                  <c:v>Бардымский муниципальный район</c:v>
                </c:pt>
                <c:pt idx="23">
                  <c:v>Суксунский муниципальный район</c:v>
                </c:pt>
                <c:pt idx="24">
                  <c:v>Ординский муниципальный район</c:v>
                </c:pt>
                <c:pt idx="25">
                  <c:v>Гайнский муниципальный район</c:v>
                </c:pt>
                <c:pt idx="26">
                  <c:v>Кунгурский муниципальный район</c:v>
                </c:pt>
                <c:pt idx="27">
                  <c:v>Усольский муниципальный район</c:v>
                </c:pt>
                <c:pt idx="28">
                  <c:v>Куединский муниципальный район</c:v>
                </c:pt>
                <c:pt idx="29">
                  <c:v>Нытвенский муниципальный район</c:v>
                </c:pt>
                <c:pt idx="30">
                  <c:v>Сивинский муниципальный район</c:v>
                </c:pt>
                <c:pt idx="31">
                  <c:v>Очерский муниципальный район</c:v>
                </c:pt>
                <c:pt idx="32">
                  <c:v>Чернушинский муниципальный район</c:v>
                </c:pt>
                <c:pt idx="33">
                  <c:v>Ильинский муниципальный район</c:v>
                </c:pt>
                <c:pt idx="34">
                  <c:v>Кишертский муниципальный район</c:v>
                </c:pt>
                <c:pt idx="35">
                  <c:v>Город Кунгур</c:v>
                </c:pt>
                <c:pt idx="36">
                  <c:v>Осинский муниципальный район</c:v>
                </c:pt>
                <c:pt idx="37">
                  <c:v>Добрянский муниципальный район</c:v>
                </c:pt>
                <c:pt idx="38">
                  <c:v>Верещагинский муниципальный район</c:v>
                </c:pt>
                <c:pt idx="39">
                  <c:v>Березниковский городской округ</c:v>
                </c:pt>
                <c:pt idx="40">
                  <c:v>Пермский муниципальный район</c:v>
                </c:pt>
                <c:pt idx="41">
                  <c:v>Краснокамский муниципальный район</c:v>
                </c:pt>
                <c:pt idx="42">
                  <c:v>Чусовской муниципальный район</c:v>
                </c:pt>
                <c:pt idx="43">
                  <c:v>город Соликамск</c:v>
                </c:pt>
                <c:pt idx="44">
                  <c:v>Город Губаха</c:v>
                </c:pt>
                <c:pt idx="45">
                  <c:v>Чайковский муниципальный район</c:v>
                </c:pt>
                <c:pt idx="46">
                  <c:v>Лысьвенский городской округ</c:v>
                </c:pt>
                <c:pt idx="47">
                  <c:v>Город Пермь</c:v>
                </c:pt>
              </c:strCache>
            </c:strRef>
          </c:cat>
          <c:val>
            <c:numRef>
              <c:f>Лист2!$C$1:$C$48</c:f>
              <c:numCache>
                <c:formatCode>General</c:formatCode>
                <c:ptCount val="48"/>
                <c:pt idx="0">
                  <c:v>41</c:v>
                </c:pt>
                <c:pt idx="1">
                  <c:v>131</c:v>
                </c:pt>
                <c:pt idx="2">
                  <c:v>168</c:v>
                </c:pt>
                <c:pt idx="3">
                  <c:v>179</c:v>
                </c:pt>
                <c:pt idx="4">
                  <c:v>183</c:v>
                </c:pt>
                <c:pt idx="5">
                  <c:v>214</c:v>
                </c:pt>
                <c:pt idx="6">
                  <c:v>226</c:v>
                </c:pt>
                <c:pt idx="7">
                  <c:v>233</c:v>
                </c:pt>
                <c:pt idx="8">
                  <c:v>236</c:v>
                </c:pt>
                <c:pt idx="9">
                  <c:v>249</c:v>
                </c:pt>
                <c:pt idx="10">
                  <c:v>264</c:v>
                </c:pt>
                <c:pt idx="11">
                  <c:v>281</c:v>
                </c:pt>
                <c:pt idx="12">
                  <c:v>296</c:v>
                </c:pt>
                <c:pt idx="13">
                  <c:v>360</c:v>
                </c:pt>
                <c:pt idx="14">
                  <c:v>394</c:v>
                </c:pt>
                <c:pt idx="15">
                  <c:v>414</c:v>
                </c:pt>
                <c:pt idx="16">
                  <c:v>431</c:v>
                </c:pt>
                <c:pt idx="17">
                  <c:v>441</c:v>
                </c:pt>
                <c:pt idx="18">
                  <c:v>455</c:v>
                </c:pt>
                <c:pt idx="19">
                  <c:v>484</c:v>
                </c:pt>
                <c:pt idx="20">
                  <c:v>525</c:v>
                </c:pt>
                <c:pt idx="21">
                  <c:v>569</c:v>
                </c:pt>
                <c:pt idx="22">
                  <c:v>597</c:v>
                </c:pt>
                <c:pt idx="23">
                  <c:v>615</c:v>
                </c:pt>
                <c:pt idx="24">
                  <c:v>687</c:v>
                </c:pt>
                <c:pt idx="25">
                  <c:v>736</c:v>
                </c:pt>
                <c:pt idx="26">
                  <c:v>745</c:v>
                </c:pt>
                <c:pt idx="27">
                  <c:v>748</c:v>
                </c:pt>
                <c:pt idx="28">
                  <c:v>873</c:v>
                </c:pt>
                <c:pt idx="29">
                  <c:v>886</c:v>
                </c:pt>
                <c:pt idx="30">
                  <c:v>914</c:v>
                </c:pt>
                <c:pt idx="31">
                  <c:v>975</c:v>
                </c:pt>
                <c:pt idx="32">
                  <c:v>1240</c:v>
                </c:pt>
                <c:pt idx="33">
                  <c:v>1295</c:v>
                </c:pt>
                <c:pt idx="34">
                  <c:v>1349</c:v>
                </c:pt>
                <c:pt idx="35">
                  <c:v>1475</c:v>
                </c:pt>
                <c:pt idx="36">
                  <c:v>1587</c:v>
                </c:pt>
                <c:pt idx="37">
                  <c:v>1591</c:v>
                </c:pt>
                <c:pt idx="38">
                  <c:v>1725</c:v>
                </c:pt>
                <c:pt idx="39">
                  <c:v>1749</c:v>
                </c:pt>
                <c:pt idx="40">
                  <c:v>1788</c:v>
                </c:pt>
                <c:pt idx="41">
                  <c:v>1860</c:v>
                </c:pt>
                <c:pt idx="42">
                  <c:v>2142</c:v>
                </c:pt>
                <c:pt idx="43">
                  <c:v>2384</c:v>
                </c:pt>
                <c:pt idx="44">
                  <c:v>2422</c:v>
                </c:pt>
                <c:pt idx="45">
                  <c:v>4129</c:v>
                </c:pt>
                <c:pt idx="46">
                  <c:v>4187</c:v>
                </c:pt>
                <c:pt idx="47">
                  <c:v>16487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42816"/>
        <c:axId val="132059136"/>
      </c:barChart>
      <c:catAx>
        <c:axId val="143042816"/>
        <c:scaling>
          <c:orientation val="minMax"/>
        </c:scaling>
        <c:delete val="0"/>
        <c:axPos val="l"/>
        <c:majorTickMark val="out"/>
        <c:minorTickMark val="none"/>
        <c:tickLblPos val="nextTo"/>
        <c:crossAx val="132059136"/>
        <c:crosses val="autoZero"/>
        <c:auto val="1"/>
        <c:lblAlgn val="ctr"/>
        <c:lblOffset val="100"/>
        <c:noMultiLvlLbl val="0"/>
      </c:catAx>
      <c:valAx>
        <c:axId val="1320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304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381001</xdr:colOff>
      <xdr:row>25</xdr:row>
      <xdr:rowOff>419099</xdr:rowOff>
    </xdr:from>
    <xdr:to>
      <xdr:col>24</xdr:col>
      <xdr:colOff>152401</xdr:colOff>
      <xdr:row>48</xdr:row>
      <xdr:rowOff>95249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="85" zoomScaleNormal="85" workbookViewId="0">
      <selection activeCell="I10" sqref="I10"/>
    </sheetView>
  </sheetViews>
  <sheetFormatPr defaultColWidth="8.140625" defaultRowHeight="12" x14ac:dyDescent="0.2"/>
  <cols>
    <col min="1" max="1" width="47.5703125" style="5" customWidth="1"/>
    <col min="2" max="6" width="13.42578125" style="5" customWidth="1"/>
    <col min="7" max="7" width="16.85546875" style="5" customWidth="1"/>
    <col min="8" max="23" width="13.42578125" style="5" customWidth="1"/>
    <col min="24" max="16384" width="8.140625" style="5"/>
  </cols>
  <sheetData>
    <row r="1" spans="1:23" ht="330.75" customHeight="1" x14ac:dyDescent="0.2">
      <c r="A1" s="20" t="s">
        <v>53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60</v>
      </c>
      <c r="G1" s="7" t="s">
        <v>4</v>
      </c>
      <c r="H1" s="7" t="s">
        <v>3</v>
      </c>
      <c r="I1" s="7" t="s">
        <v>64</v>
      </c>
      <c r="J1" s="7" t="s">
        <v>3</v>
      </c>
      <c r="K1" s="7" t="s">
        <v>61</v>
      </c>
      <c r="L1" s="7" t="s">
        <v>62</v>
      </c>
      <c r="M1" s="7" t="s">
        <v>3</v>
      </c>
      <c r="N1" s="7" t="s">
        <v>59</v>
      </c>
      <c r="O1" s="7" t="s">
        <v>3</v>
      </c>
      <c r="P1" s="7" t="s">
        <v>5</v>
      </c>
      <c r="Q1" s="7" t="s">
        <v>6</v>
      </c>
      <c r="R1" s="7" t="s">
        <v>7</v>
      </c>
      <c r="S1" s="7" t="s">
        <v>3</v>
      </c>
      <c r="T1" s="7" t="s">
        <v>63</v>
      </c>
      <c r="U1" s="7" t="s">
        <v>3</v>
      </c>
      <c r="V1" s="7" t="s">
        <v>8</v>
      </c>
      <c r="W1" s="7" t="s">
        <v>9</v>
      </c>
    </row>
    <row r="2" spans="1:23" ht="24.75" customHeight="1" x14ac:dyDescent="0.25">
      <c r="A2" s="16" t="s">
        <v>55</v>
      </c>
      <c r="B2" s="17">
        <v>32092</v>
      </c>
      <c r="C2" s="10">
        <v>2708</v>
      </c>
      <c r="D2" s="11">
        <f>C2/B2</f>
        <v>8.438240059827995E-2</v>
      </c>
      <c r="E2" s="12">
        <v>47</v>
      </c>
      <c r="F2" s="15">
        <v>2174</v>
      </c>
      <c r="G2" s="11">
        <f>F2/C2</f>
        <v>0.80280649926144754</v>
      </c>
      <c r="H2" s="12">
        <v>26</v>
      </c>
      <c r="I2" s="11">
        <f>F2/B2</f>
        <v>6.7742739623582196E-2</v>
      </c>
      <c r="J2" s="12">
        <v>41</v>
      </c>
      <c r="K2" s="13">
        <f>583+149+205</f>
        <v>937</v>
      </c>
      <c r="L2" s="11">
        <f>K2/B2</f>
        <v>2.919730774024679E-2</v>
      </c>
      <c r="M2" s="12">
        <v>45</v>
      </c>
      <c r="N2" s="11">
        <f>K2/F2</f>
        <v>0.4310027598896044</v>
      </c>
      <c r="O2" s="12">
        <v>30</v>
      </c>
      <c r="P2" s="14">
        <v>3</v>
      </c>
      <c r="Q2" s="15">
        <f>B2/P2</f>
        <v>10697.333333333334</v>
      </c>
      <c r="R2" s="11">
        <f>Q2/SUM(Q$2:Q$49)</f>
        <v>1.8648206112534711E-2</v>
      </c>
      <c r="S2" s="12">
        <v>46</v>
      </c>
      <c r="T2" s="15">
        <v>16</v>
      </c>
      <c r="U2" s="12">
        <v>45</v>
      </c>
      <c r="V2" s="15">
        <f>SUM(E2,H2,J2,M2,O2,S2,U2)</f>
        <v>280</v>
      </c>
      <c r="W2" s="15">
        <v>1</v>
      </c>
    </row>
    <row r="3" spans="1:23" ht="24.75" customHeight="1" x14ac:dyDescent="0.25">
      <c r="A3" s="8" t="s">
        <v>31</v>
      </c>
      <c r="B3" s="9">
        <v>14782</v>
      </c>
      <c r="C3" s="10">
        <v>456</v>
      </c>
      <c r="D3" s="11">
        <f>C3/B3</f>
        <v>3.0848329048843187E-2</v>
      </c>
      <c r="E3" s="12">
        <v>21</v>
      </c>
      <c r="F3" s="15">
        <v>1188</v>
      </c>
      <c r="G3" s="11">
        <f>F3/C3</f>
        <v>2.6052631578947367</v>
      </c>
      <c r="H3" s="12">
        <v>48</v>
      </c>
      <c r="I3" s="11">
        <f>F3/B3</f>
        <v>8.0368015153565148E-2</v>
      </c>
      <c r="J3" s="12">
        <v>43</v>
      </c>
      <c r="K3" s="13">
        <f>215+94+108</f>
        <v>417</v>
      </c>
      <c r="L3" s="11">
        <f>K3/B3</f>
        <v>2.8209985117034229E-2</v>
      </c>
      <c r="M3" s="12">
        <v>44</v>
      </c>
      <c r="N3" s="11">
        <f>K3/F3</f>
        <v>0.35101010101010099</v>
      </c>
      <c r="O3" s="12">
        <v>24</v>
      </c>
      <c r="P3" s="14">
        <v>5</v>
      </c>
      <c r="Q3" s="15">
        <f>B3/P3</f>
        <v>2956.4</v>
      </c>
      <c r="R3" s="11">
        <f>Q3/SUM(Q$2:Q$49)</f>
        <v>5.1537663484137117E-3</v>
      </c>
      <c r="S3" s="12">
        <v>48</v>
      </c>
      <c r="T3" s="15">
        <v>15</v>
      </c>
      <c r="U3" s="12">
        <v>44</v>
      </c>
      <c r="V3" s="15">
        <f>SUM(E3,H3,J3,M3,O3,S3,U3)</f>
        <v>272</v>
      </c>
      <c r="W3" s="15">
        <v>2</v>
      </c>
    </row>
    <row r="4" spans="1:23" ht="24.75" customHeight="1" x14ac:dyDescent="0.25">
      <c r="A4" s="8" t="s">
        <v>20</v>
      </c>
      <c r="B4" s="9">
        <v>20555</v>
      </c>
      <c r="C4" s="15">
        <v>1135</v>
      </c>
      <c r="D4" s="11">
        <f>C4/B4</f>
        <v>5.521770858671856E-2</v>
      </c>
      <c r="E4" s="12">
        <v>36</v>
      </c>
      <c r="F4" s="15">
        <v>2058</v>
      </c>
      <c r="G4" s="11">
        <f>F4/C4</f>
        <v>1.8132158590308369</v>
      </c>
      <c r="H4" s="12">
        <v>47</v>
      </c>
      <c r="I4" s="11">
        <f>F4/B4</f>
        <v>0.10012162490878132</v>
      </c>
      <c r="J4" s="12">
        <v>48</v>
      </c>
      <c r="K4" s="13">
        <f>229+40+1+79</f>
        <v>349</v>
      </c>
      <c r="L4" s="11">
        <f>K4/B4</f>
        <v>1.697883726587205E-2</v>
      </c>
      <c r="M4" s="12">
        <v>37</v>
      </c>
      <c r="N4" s="11">
        <f>K4/F4</f>
        <v>0.1695821185617104</v>
      </c>
      <c r="O4" s="12">
        <v>5</v>
      </c>
      <c r="P4" s="14">
        <v>1</v>
      </c>
      <c r="Q4" s="15">
        <f>B4/P4</f>
        <v>20555</v>
      </c>
      <c r="R4" s="11">
        <f>Q4/SUM(Q$2:Q$49)</f>
        <v>3.5832657046287325E-2</v>
      </c>
      <c r="S4" s="12">
        <v>38</v>
      </c>
      <c r="T4" s="15">
        <v>18</v>
      </c>
      <c r="U4" s="12">
        <v>46</v>
      </c>
      <c r="V4" s="15">
        <f>SUM(E4,H4,J4,M4,O4,S4,U4)</f>
        <v>257</v>
      </c>
      <c r="W4" s="15">
        <v>3</v>
      </c>
    </row>
    <row r="5" spans="1:23" ht="24.75" customHeight="1" x14ac:dyDescent="0.25">
      <c r="A5" s="8" t="s">
        <v>26</v>
      </c>
      <c r="B5" s="9">
        <v>62885</v>
      </c>
      <c r="C5" s="10">
        <v>2984</v>
      </c>
      <c r="D5" s="11">
        <f>C5/B5</f>
        <v>4.7451697543134295E-2</v>
      </c>
      <c r="E5" s="12">
        <v>33</v>
      </c>
      <c r="F5" s="15">
        <v>2777</v>
      </c>
      <c r="G5" s="11">
        <f>F5/C5</f>
        <v>0.93063002680965146</v>
      </c>
      <c r="H5" s="12">
        <v>31</v>
      </c>
      <c r="I5" s="11">
        <f>F5/B5</f>
        <v>4.4159974556730541E-2</v>
      </c>
      <c r="J5" s="12">
        <v>38</v>
      </c>
      <c r="K5" s="13">
        <f>911+193+5+357</f>
        <v>1466</v>
      </c>
      <c r="L5" s="11">
        <f>K5/B5</f>
        <v>2.3312395642840104E-2</v>
      </c>
      <c r="M5" s="12">
        <v>41</v>
      </c>
      <c r="N5" s="11">
        <f>K5/F5</f>
        <v>0.52790781418797261</v>
      </c>
      <c r="O5" s="12">
        <v>36</v>
      </c>
      <c r="P5" s="14">
        <v>2</v>
      </c>
      <c r="Q5" s="15">
        <f>B5/P5</f>
        <v>31442.5</v>
      </c>
      <c r="R5" s="11">
        <f>Q5/SUM(Q$2:Q$49)</f>
        <v>5.4812372618724847E-2</v>
      </c>
      <c r="S5" s="12">
        <v>35</v>
      </c>
      <c r="T5" s="15">
        <v>4</v>
      </c>
      <c r="U5" s="12">
        <v>34</v>
      </c>
      <c r="V5" s="15">
        <f>SUM(E5,H5,J5,M5,O5,S5,U5)</f>
        <v>248</v>
      </c>
      <c r="W5" s="15">
        <v>4</v>
      </c>
    </row>
    <row r="6" spans="1:23" ht="24.75" customHeight="1" x14ac:dyDescent="0.25">
      <c r="A6" s="8" t="s">
        <v>10</v>
      </c>
      <c r="B6" s="9">
        <v>10827</v>
      </c>
      <c r="C6" s="15">
        <v>826</v>
      </c>
      <c r="D6" s="19">
        <f>C6/B6</f>
        <v>7.6290754594994001E-2</v>
      </c>
      <c r="E6" s="12">
        <v>45</v>
      </c>
      <c r="F6" s="15">
        <v>1051</v>
      </c>
      <c r="G6" s="11">
        <f>F6/C6</f>
        <v>1.2723970944309928</v>
      </c>
      <c r="H6" s="12">
        <v>43</v>
      </c>
      <c r="I6" s="11">
        <f>F6/B6</f>
        <v>9.7072134478618274E-2</v>
      </c>
      <c r="J6" s="12">
        <v>46</v>
      </c>
      <c r="K6" s="13">
        <f>125+7+41</f>
        <v>173</v>
      </c>
      <c r="L6" s="11">
        <f>K6/B6</f>
        <v>1.5978572088297775E-2</v>
      </c>
      <c r="M6" s="12">
        <v>35</v>
      </c>
      <c r="N6" s="11">
        <f>K6/F6</f>
        <v>0.16460513796384396</v>
      </c>
      <c r="O6" s="12">
        <v>4</v>
      </c>
      <c r="P6" s="14">
        <v>1</v>
      </c>
      <c r="Q6" s="15">
        <f>B6/P6</f>
        <v>10827</v>
      </c>
      <c r="R6" s="11">
        <f>Q6/SUM(Q$2:Q$49)</f>
        <v>1.8874248496237065E-2</v>
      </c>
      <c r="S6" s="12">
        <v>45</v>
      </c>
      <c r="T6" s="15">
        <v>3</v>
      </c>
      <c r="U6" s="12">
        <v>30</v>
      </c>
      <c r="V6" s="15">
        <f>SUM(E6,H6,J6,M6,O6,S6,U6)</f>
        <v>248</v>
      </c>
      <c r="W6" s="15">
        <v>4</v>
      </c>
    </row>
    <row r="7" spans="1:23" ht="24.75" customHeight="1" x14ac:dyDescent="0.25">
      <c r="A7" s="8" t="s">
        <v>28</v>
      </c>
      <c r="B7" s="9">
        <v>11261</v>
      </c>
      <c r="C7" s="10">
        <v>416</v>
      </c>
      <c r="D7" s="11">
        <f>C7/B7</f>
        <v>3.6941657046443477E-2</v>
      </c>
      <c r="E7" s="12">
        <v>28</v>
      </c>
      <c r="F7" s="15">
        <v>357</v>
      </c>
      <c r="G7" s="11">
        <f>F7/C7</f>
        <v>0.85817307692307687</v>
      </c>
      <c r="H7" s="12">
        <v>30</v>
      </c>
      <c r="I7" s="11">
        <f>F7/B7</f>
        <v>3.1702335494183463E-2</v>
      </c>
      <c r="J7" s="12">
        <v>32</v>
      </c>
      <c r="K7" s="13">
        <f>101+34+22</f>
        <v>157</v>
      </c>
      <c r="L7" s="11">
        <f>K7/B7</f>
        <v>1.3941923452624102E-2</v>
      </c>
      <c r="M7" s="12">
        <v>33</v>
      </c>
      <c r="N7" s="11">
        <f>K7/F7</f>
        <v>0.43977591036414565</v>
      </c>
      <c r="O7" s="12">
        <v>31</v>
      </c>
      <c r="P7" s="14">
        <v>1</v>
      </c>
      <c r="Q7" s="15">
        <f>B7/P7</f>
        <v>11261</v>
      </c>
      <c r="R7" s="11">
        <f>Q7/SUM(Q$2:Q$49)</f>
        <v>1.9630822232947778E-2</v>
      </c>
      <c r="S7" s="12">
        <v>43</v>
      </c>
      <c r="T7" s="15">
        <v>2</v>
      </c>
      <c r="U7" s="12">
        <v>28</v>
      </c>
      <c r="V7" s="15">
        <f>SUM(E7,H7,J7,M7,O7,S7,U7)</f>
        <v>225</v>
      </c>
      <c r="W7" s="15">
        <v>6</v>
      </c>
    </row>
    <row r="8" spans="1:23" ht="24.75" customHeight="1" x14ac:dyDescent="0.25">
      <c r="A8" s="8" t="s">
        <v>13</v>
      </c>
      <c r="B8" s="9">
        <v>10919</v>
      </c>
      <c r="C8" s="10">
        <v>881</v>
      </c>
      <c r="D8" s="11">
        <f>C8/B8</f>
        <v>8.068504441798699E-2</v>
      </c>
      <c r="E8" s="12">
        <v>46</v>
      </c>
      <c r="F8" s="15">
        <v>1023</v>
      </c>
      <c r="G8" s="11">
        <f>F8/C8</f>
        <v>1.1611804767309875</v>
      </c>
      <c r="H8" s="12">
        <v>41</v>
      </c>
      <c r="I8" s="11">
        <f>F8/B8</f>
        <v>9.368989834233904E-2</v>
      </c>
      <c r="J8" s="12">
        <v>44</v>
      </c>
      <c r="K8" s="13">
        <f>355+81+34+212</f>
        <v>682</v>
      </c>
      <c r="L8" s="11">
        <f>K8/B8</f>
        <v>6.2459932228226031E-2</v>
      </c>
      <c r="M8" s="12">
        <v>48</v>
      </c>
      <c r="N8" s="11">
        <f>K8/F8</f>
        <v>0.66666666666666663</v>
      </c>
      <c r="O8" s="12">
        <v>43</v>
      </c>
      <c r="P8" s="14">
        <v>0</v>
      </c>
      <c r="Q8" s="15">
        <v>0</v>
      </c>
      <c r="R8" s="11">
        <f>Q8/SUM(Q$2:Q$49)</f>
        <v>0</v>
      </c>
      <c r="S8" s="12">
        <v>0</v>
      </c>
      <c r="T8" s="15">
        <v>0</v>
      </c>
      <c r="U8" s="12">
        <v>0</v>
      </c>
      <c r="V8" s="15">
        <f>SUM(E8,H8,J8,M8,O8,S8,U8)</f>
        <v>222</v>
      </c>
      <c r="W8" s="15">
        <v>7</v>
      </c>
    </row>
    <row r="9" spans="1:23" ht="24.75" customHeight="1" x14ac:dyDescent="0.25">
      <c r="A9" s="8" t="s">
        <v>24</v>
      </c>
      <c r="B9" s="9">
        <v>22504</v>
      </c>
      <c r="C9" s="10">
        <v>1010</v>
      </c>
      <c r="D9" s="11">
        <f>C9/B9</f>
        <v>4.4880910060433703E-2</v>
      </c>
      <c r="E9" s="12">
        <v>31</v>
      </c>
      <c r="F9" s="15">
        <v>1103</v>
      </c>
      <c r="G9" s="11">
        <f>F9/C9</f>
        <v>1.0920792079207922</v>
      </c>
      <c r="H9" s="12">
        <v>39</v>
      </c>
      <c r="I9" s="11">
        <f>F9/B9</f>
        <v>4.9013508709562746E-2</v>
      </c>
      <c r="J9" s="12">
        <v>39</v>
      </c>
      <c r="K9" s="13">
        <f>223+141+64</f>
        <v>428</v>
      </c>
      <c r="L9" s="11">
        <f>K9/B9</f>
        <v>1.9018841094916458E-2</v>
      </c>
      <c r="M9" s="12">
        <v>39</v>
      </c>
      <c r="N9" s="11">
        <f>K9/F9</f>
        <v>0.38803263825929285</v>
      </c>
      <c r="O9" s="12">
        <v>26</v>
      </c>
      <c r="P9" s="14">
        <v>2</v>
      </c>
      <c r="Q9" s="15">
        <f>B9/P9</f>
        <v>11252</v>
      </c>
      <c r="R9" s="11">
        <f>Q9/SUM(Q$2:Q$49)</f>
        <v>1.9615132915827047E-2</v>
      </c>
      <c r="S9" s="12">
        <v>44</v>
      </c>
      <c r="T9" s="15">
        <v>0</v>
      </c>
      <c r="U9" s="12">
        <v>0</v>
      </c>
      <c r="V9" s="15">
        <f>SUM(E9,H9,J9,M9,O9,S9,U9)</f>
        <v>218</v>
      </c>
      <c r="W9" s="15">
        <v>8</v>
      </c>
    </row>
    <row r="10" spans="1:23" ht="24.75" customHeight="1" x14ac:dyDescent="0.25">
      <c r="A10" s="8" t="s">
        <v>22</v>
      </c>
      <c r="B10" s="9">
        <v>11418</v>
      </c>
      <c r="C10" s="10">
        <v>500</v>
      </c>
      <c r="D10" s="11">
        <f>C10/B10</f>
        <v>4.3790506218251882E-2</v>
      </c>
      <c r="E10" s="12">
        <v>30</v>
      </c>
      <c r="F10" s="15">
        <v>492</v>
      </c>
      <c r="G10" s="11">
        <f>F10/C10</f>
        <v>0.98399999999999999</v>
      </c>
      <c r="H10" s="12">
        <v>33</v>
      </c>
      <c r="I10" s="11">
        <f>F10/B10</f>
        <v>4.3089858118759851E-2</v>
      </c>
      <c r="J10" s="12">
        <v>37</v>
      </c>
      <c r="K10" s="13">
        <f>249+91+73</f>
        <v>413</v>
      </c>
      <c r="L10" s="11">
        <f>K10/B10</f>
        <v>3.6170958136276056E-2</v>
      </c>
      <c r="M10" s="12">
        <v>47</v>
      </c>
      <c r="N10" s="11">
        <f>K10/F10</f>
        <v>0.83943089430894313</v>
      </c>
      <c r="O10" s="12">
        <v>46</v>
      </c>
      <c r="P10" s="14">
        <v>0</v>
      </c>
      <c r="Q10" s="15">
        <v>0</v>
      </c>
      <c r="R10" s="11">
        <f>Q10/SUM(Q$2:Q$49)</f>
        <v>0</v>
      </c>
      <c r="S10" s="12">
        <v>0</v>
      </c>
      <c r="T10" s="15">
        <v>1</v>
      </c>
      <c r="U10" s="12">
        <v>24</v>
      </c>
      <c r="V10" s="15">
        <f>SUM(E10,H10,J10,M10,O10,S10,U10)</f>
        <v>217</v>
      </c>
      <c r="W10" s="15">
        <v>9</v>
      </c>
    </row>
    <row r="11" spans="1:23" ht="24.75" customHeight="1" x14ac:dyDescent="0.25">
      <c r="A11" s="8" t="s">
        <v>16</v>
      </c>
      <c r="B11" s="9">
        <v>13093</v>
      </c>
      <c r="C11" s="15">
        <v>844</v>
      </c>
      <c r="D11" s="11">
        <f>C11/B11</f>
        <v>6.4461926220117621E-2</v>
      </c>
      <c r="E11" s="12">
        <v>40</v>
      </c>
      <c r="F11" s="15">
        <v>1301</v>
      </c>
      <c r="G11" s="11">
        <f>F11/C11</f>
        <v>1.5414691943127963</v>
      </c>
      <c r="H11" s="12">
        <v>44</v>
      </c>
      <c r="I11" s="11">
        <f>F11/B11</f>
        <v>9.9366073474375621E-2</v>
      </c>
      <c r="J11" s="12">
        <v>47</v>
      </c>
      <c r="K11" s="13">
        <f>255+25+42</f>
        <v>322</v>
      </c>
      <c r="L11" s="11">
        <f>K11/B11</f>
        <v>2.4593294126632553E-2</v>
      </c>
      <c r="M11" s="12">
        <v>42</v>
      </c>
      <c r="N11" s="11">
        <f>K11/F11</f>
        <v>0.24750192159877019</v>
      </c>
      <c r="O11" s="12">
        <v>11</v>
      </c>
      <c r="P11" s="14">
        <v>0</v>
      </c>
      <c r="Q11" s="15">
        <v>0</v>
      </c>
      <c r="R11" s="11">
        <f>Q11/SUM(Q$2:Q$49)</f>
        <v>0</v>
      </c>
      <c r="S11" s="12">
        <v>0</v>
      </c>
      <c r="T11" s="15">
        <v>3</v>
      </c>
      <c r="U11" s="12">
        <v>30</v>
      </c>
      <c r="V11" s="15">
        <f>SUM(E11,H11,J11,M11,O11,S11,U11)</f>
        <v>214</v>
      </c>
      <c r="W11" s="15">
        <v>10</v>
      </c>
    </row>
    <row r="12" spans="1:23" ht="24.75" customHeight="1" x14ac:dyDescent="0.25">
      <c r="A12" s="8" t="s">
        <v>56</v>
      </c>
      <c r="B12" s="9">
        <v>9303</v>
      </c>
      <c r="C12" s="15">
        <v>469</v>
      </c>
      <c r="D12" s="11">
        <f>C12/B12</f>
        <v>5.0413844996237772E-2</v>
      </c>
      <c r="E12" s="12">
        <v>34</v>
      </c>
      <c r="F12" s="15">
        <f>181+100</f>
        <v>281</v>
      </c>
      <c r="G12" s="11">
        <f>F12/C12</f>
        <v>0.59914712153518124</v>
      </c>
      <c r="H12" s="12">
        <v>17</v>
      </c>
      <c r="I12" s="11">
        <f>F12/B12</f>
        <v>3.0205310115016662E-2</v>
      </c>
      <c r="J12" s="12">
        <v>29</v>
      </c>
      <c r="K12" s="13">
        <f>155+20+39+3</f>
        <v>217</v>
      </c>
      <c r="L12" s="11">
        <f>K12/B12</f>
        <v>2.3325808878856283E-2</v>
      </c>
      <c r="M12" s="12">
        <v>41</v>
      </c>
      <c r="N12" s="11">
        <f>K12/F12</f>
        <v>0.77224199288256223</v>
      </c>
      <c r="O12" s="12">
        <v>44</v>
      </c>
      <c r="P12" s="14">
        <v>0</v>
      </c>
      <c r="Q12" s="15">
        <v>0</v>
      </c>
      <c r="R12" s="11">
        <f>Q12/SUM(Q$2:Q$49)</f>
        <v>0</v>
      </c>
      <c r="S12" s="12">
        <v>0</v>
      </c>
      <c r="T12" s="15">
        <v>9</v>
      </c>
      <c r="U12" s="12">
        <v>39</v>
      </c>
      <c r="V12" s="15">
        <f>SUM(E12,H12,J12,M12,O12,S12,U12)</f>
        <v>204</v>
      </c>
      <c r="W12" s="15">
        <v>11</v>
      </c>
    </row>
    <row r="13" spans="1:23" ht="24.75" customHeight="1" x14ac:dyDescent="0.25">
      <c r="A13" s="8" t="s">
        <v>15</v>
      </c>
      <c r="B13" s="9">
        <v>26115</v>
      </c>
      <c r="C13" s="10">
        <v>1812</v>
      </c>
      <c r="D13" s="11">
        <f>C13/B13</f>
        <v>6.9385410683515225E-2</v>
      </c>
      <c r="E13" s="12">
        <v>43</v>
      </c>
      <c r="F13" s="15">
        <v>1926</v>
      </c>
      <c r="G13" s="11">
        <f>F13/C13</f>
        <v>1.0629139072847682</v>
      </c>
      <c r="H13" s="12">
        <v>35</v>
      </c>
      <c r="I13" s="11">
        <f>F13/B13</f>
        <v>7.3750717978173466E-2</v>
      </c>
      <c r="J13" s="12">
        <v>42</v>
      </c>
      <c r="K13" s="13">
        <f>115+153+92</f>
        <v>360</v>
      </c>
      <c r="L13" s="11">
        <f>K13/B13</f>
        <v>1.3785180930499713E-2</v>
      </c>
      <c r="M13" s="12">
        <v>32</v>
      </c>
      <c r="N13" s="11">
        <f>K13/F13</f>
        <v>0.18691588785046728</v>
      </c>
      <c r="O13" s="12">
        <v>6</v>
      </c>
      <c r="P13" s="14">
        <v>0</v>
      </c>
      <c r="Q13" s="15">
        <v>0</v>
      </c>
      <c r="R13" s="11">
        <f>Q13/SUM(Q$2:Q$49)</f>
        <v>0</v>
      </c>
      <c r="S13" s="12">
        <v>0</v>
      </c>
      <c r="T13" s="15">
        <v>10</v>
      </c>
      <c r="U13" s="12">
        <v>43</v>
      </c>
      <c r="V13" s="15">
        <f>SUM(E13,H13,J13,M13,O13,S13,U13)</f>
        <v>201</v>
      </c>
      <c r="W13" s="15">
        <v>12</v>
      </c>
    </row>
    <row r="14" spans="1:23" ht="24.75" customHeight="1" x14ac:dyDescent="0.25">
      <c r="A14" s="8" t="s">
        <v>41</v>
      </c>
      <c r="B14" s="9">
        <v>38137</v>
      </c>
      <c r="C14" s="10">
        <v>1179</v>
      </c>
      <c r="D14" s="11">
        <f>C14/B14</f>
        <v>3.0914859585179748E-2</v>
      </c>
      <c r="E14" s="12">
        <v>22</v>
      </c>
      <c r="F14" s="14">
        <v>830</v>
      </c>
      <c r="G14" s="11">
        <f>F14/C14</f>
        <v>0.70398642917726884</v>
      </c>
      <c r="H14" s="12">
        <v>23</v>
      </c>
      <c r="I14" s="11">
        <f>F14/B14</f>
        <v>2.1763641607887352E-2</v>
      </c>
      <c r="J14" s="12">
        <v>21</v>
      </c>
      <c r="K14" s="13">
        <f>99+53+191+25</f>
        <v>368</v>
      </c>
      <c r="L14" s="11">
        <f>K14/B14</f>
        <v>9.6494218213283682E-3</v>
      </c>
      <c r="M14" s="12">
        <v>22</v>
      </c>
      <c r="N14" s="11">
        <f>K14/F14</f>
        <v>0.44337349397590359</v>
      </c>
      <c r="O14" s="12">
        <v>32</v>
      </c>
      <c r="P14" s="14">
        <v>1</v>
      </c>
      <c r="Q14" s="15">
        <f>B14/P14</f>
        <v>38137</v>
      </c>
      <c r="R14" s="11">
        <f>Q14/SUM(Q$2:Q$49)</f>
        <v>6.6482609670360487E-2</v>
      </c>
      <c r="S14" s="12">
        <v>31</v>
      </c>
      <c r="T14" s="15">
        <v>38</v>
      </c>
      <c r="U14" s="12">
        <v>47</v>
      </c>
      <c r="V14" s="15">
        <f>SUM(E14,H14,J14,M14,O14,S14,U14)</f>
        <v>198</v>
      </c>
      <c r="W14" s="15">
        <v>13</v>
      </c>
    </row>
    <row r="15" spans="1:23" ht="24.75" customHeight="1" x14ac:dyDescent="0.25">
      <c r="A15" s="8" t="s">
        <v>12</v>
      </c>
      <c r="B15" s="9">
        <v>12588</v>
      </c>
      <c r="C15" s="10">
        <v>1067</v>
      </c>
      <c r="D15" s="11">
        <f>C15/B15</f>
        <v>8.4763266603114076E-2</v>
      </c>
      <c r="E15" s="12">
        <v>48</v>
      </c>
      <c r="F15" s="15">
        <v>1210</v>
      </c>
      <c r="G15" s="11">
        <f>F15/C15</f>
        <v>1.134020618556701</v>
      </c>
      <c r="H15" s="12">
        <v>40</v>
      </c>
      <c r="I15" s="11">
        <f>F15/B15</f>
        <v>9.6123292024149987E-2</v>
      </c>
      <c r="J15" s="12">
        <v>45</v>
      </c>
      <c r="K15" s="13">
        <f>211+27+152</f>
        <v>390</v>
      </c>
      <c r="L15" s="11">
        <f>K15/B15</f>
        <v>3.098188751191611E-2</v>
      </c>
      <c r="M15" s="12">
        <v>46</v>
      </c>
      <c r="N15" s="11">
        <f>K15/F15</f>
        <v>0.32231404958677684</v>
      </c>
      <c r="O15" s="12">
        <v>18</v>
      </c>
      <c r="P15" s="14">
        <v>0</v>
      </c>
      <c r="Q15" s="15">
        <v>0</v>
      </c>
      <c r="R15" s="11">
        <f>Q15/SUM(Q$2:Q$49)</f>
        <v>0</v>
      </c>
      <c r="S15" s="12">
        <v>0</v>
      </c>
      <c r="T15" s="15">
        <v>0</v>
      </c>
      <c r="U15" s="12">
        <v>0</v>
      </c>
      <c r="V15" s="15">
        <f>SUM(E15,H15,J15,M15,O15,S15,U15)</f>
        <v>197</v>
      </c>
      <c r="W15" s="15">
        <v>14</v>
      </c>
    </row>
    <row r="16" spans="1:23" ht="24.75" customHeight="1" x14ac:dyDescent="0.25">
      <c r="A16" s="8" t="s">
        <v>30</v>
      </c>
      <c r="B16" s="9">
        <v>5813</v>
      </c>
      <c r="C16" s="10">
        <v>177</v>
      </c>
      <c r="D16" s="11">
        <f>C16/B16</f>
        <v>3.0448993634956133E-2</v>
      </c>
      <c r="E16" s="12">
        <v>18</v>
      </c>
      <c r="F16" s="15">
        <v>171</v>
      </c>
      <c r="G16" s="11">
        <f>F16/C16</f>
        <v>0.96610169491525422</v>
      </c>
      <c r="H16" s="12">
        <v>32</v>
      </c>
      <c r="I16" s="11">
        <f>F16/B16</f>
        <v>2.9416824359194908E-2</v>
      </c>
      <c r="J16" s="12">
        <v>28</v>
      </c>
      <c r="K16" s="13">
        <f>125+22+5</f>
        <v>152</v>
      </c>
      <c r="L16" s="11">
        <f>K16/B16</f>
        <v>2.6148288319284362E-2</v>
      </c>
      <c r="M16" s="12">
        <v>43</v>
      </c>
      <c r="N16" s="11">
        <f>K16/F16</f>
        <v>0.88888888888888884</v>
      </c>
      <c r="O16" s="12">
        <v>48</v>
      </c>
      <c r="P16" s="14">
        <v>0</v>
      </c>
      <c r="Q16" s="15">
        <v>0</v>
      </c>
      <c r="R16" s="11">
        <f>Q16/SUM(Q$2:Q$49)</f>
        <v>0</v>
      </c>
      <c r="S16" s="12">
        <v>0</v>
      </c>
      <c r="T16" s="15">
        <v>1</v>
      </c>
      <c r="U16" s="12">
        <v>24</v>
      </c>
      <c r="V16" s="15">
        <f>SUM(E16,H16,J16,M16,O16,S16,U16)</f>
        <v>193</v>
      </c>
      <c r="W16" s="15">
        <v>15</v>
      </c>
    </row>
    <row r="17" spans="1:23" ht="24.75" customHeight="1" x14ac:dyDescent="0.25">
      <c r="A17" s="8" t="s">
        <v>49</v>
      </c>
      <c r="B17" s="9">
        <v>18809</v>
      </c>
      <c r="C17" s="15">
        <v>184</v>
      </c>
      <c r="D17" s="11">
        <f>C17/B17</f>
        <v>9.7825509064809399E-3</v>
      </c>
      <c r="E17" s="12">
        <v>2</v>
      </c>
      <c r="F17" s="15">
        <v>315</v>
      </c>
      <c r="G17" s="11">
        <f>F17/C17</f>
        <v>1.7119565217391304</v>
      </c>
      <c r="H17" s="12">
        <v>45</v>
      </c>
      <c r="I17" s="11">
        <f>F17/B17</f>
        <v>1.6747301823595087E-2</v>
      </c>
      <c r="J17" s="12">
        <v>14</v>
      </c>
      <c r="K17" s="13">
        <f>62+17+1+94</f>
        <v>174</v>
      </c>
      <c r="L17" s="11">
        <f>K17/B17</f>
        <v>9.2508905311287151E-3</v>
      </c>
      <c r="M17" s="12">
        <v>19</v>
      </c>
      <c r="N17" s="11">
        <f>K17/F17</f>
        <v>0.55238095238095242</v>
      </c>
      <c r="O17" s="12">
        <v>37</v>
      </c>
      <c r="P17" s="14">
        <v>1</v>
      </c>
      <c r="Q17" s="15">
        <f>B17/P17</f>
        <v>18809</v>
      </c>
      <c r="R17" s="11">
        <f>Q17/SUM(Q$2:Q$49)</f>
        <v>3.2788929524865888E-2</v>
      </c>
      <c r="S17" s="12">
        <v>41</v>
      </c>
      <c r="T17" s="15">
        <v>4</v>
      </c>
      <c r="U17" s="12">
        <v>34</v>
      </c>
      <c r="V17" s="15">
        <f>SUM(E17,H17,J17,M17,O17,S17,U17)</f>
        <v>192</v>
      </c>
      <c r="W17" s="15">
        <v>16</v>
      </c>
    </row>
    <row r="18" spans="1:23" ht="24.75" customHeight="1" x14ac:dyDescent="0.25">
      <c r="A18" s="8" t="s">
        <v>36</v>
      </c>
      <c r="B18" s="9">
        <v>10384</v>
      </c>
      <c r="C18" s="10">
        <v>336</v>
      </c>
      <c r="D18" s="11">
        <f>C18/B18</f>
        <v>3.2357473035439135E-2</v>
      </c>
      <c r="E18" s="12">
        <v>25</v>
      </c>
      <c r="F18" s="14">
        <v>243</v>
      </c>
      <c r="G18" s="11">
        <f>F18/C18</f>
        <v>0.7232142857142857</v>
      </c>
      <c r="H18" s="12">
        <v>24</v>
      </c>
      <c r="I18" s="11">
        <f>F18/B18</f>
        <v>2.3401386748844375E-2</v>
      </c>
      <c r="J18" s="12">
        <v>24</v>
      </c>
      <c r="K18" s="13">
        <f>85+10+42</f>
        <v>137</v>
      </c>
      <c r="L18" s="11">
        <f>K18/B18</f>
        <v>1.3193374422187982E-2</v>
      </c>
      <c r="M18" s="12">
        <v>31</v>
      </c>
      <c r="N18" s="11">
        <f>K18/F18</f>
        <v>0.56378600823045266</v>
      </c>
      <c r="O18" s="12">
        <v>39</v>
      </c>
      <c r="P18" s="14">
        <v>2</v>
      </c>
      <c r="Q18" s="15">
        <f>B18/P18</f>
        <v>5192</v>
      </c>
      <c r="R18" s="11">
        <f>Q18/SUM(Q$2:Q$49)</f>
        <v>9.0509927212028118E-3</v>
      </c>
      <c r="S18" s="12">
        <v>47</v>
      </c>
      <c r="T18" s="15">
        <v>0</v>
      </c>
      <c r="U18" s="12">
        <v>0</v>
      </c>
      <c r="V18" s="15">
        <f>SUM(E18,H18,J18,M18,O18,S18,U18)</f>
        <v>190</v>
      </c>
      <c r="W18" s="15">
        <v>17</v>
      </c>
    </row>
    <row r="19" spans="1:23" ht="24.75" customHeight="1" x14ac:dyDescent="0.25">
      <c r="A19" s="8" t="s">
        <v>17</v>
      </c>
      <c r="B19" s="9">
        <v>9446</v>
      </c>
      <c r="C19" s="10">
        <v>607</v>
      </c>
      <c r="D19" s="11">
        <f>C19/B19</f>
        <v>6.4260004234596657E-2</v>
      </c>
      <c r="E19" s="12">
        <v>39</v>
      </c>
      <c r="F19" s="15">
        <v>244</v>
      </c>
      <c r="G19" s="11">
        <f>F19/C19</f>
        <v>0.40197693574958815</v>
      </c>
      <c r="H19" s="12">
        <v>6</v>
      </c>
      <c r="I19" s="11">
        <f>F19/B19</f>
        <v>2.5831039593478721E-2</v>
      </c>
      <c r="J19" s="12">
        <v>26</v>
      </c>
      <c r="K19" s="13">
        <f>73+28+11+42</f>
        <v>154</v>
      </c>
      <c r="L19" s="11">
        <f>K19/B19</f>
        <v>1.6303197120474275E-2</v>
      </c>
      <c r="M19" s="12">
        <v>36</v>
      </c>
      <c r="N19" s="11">
        <f>K19/F19</f>
        <v>0.63114754098360659</v>
      </c>
      <c r="O19" s="12">
        <v>41</v>
      </c>
      <c r="P19" s="14">
        <v>0</v>
      </c>
      <c r="Q19" s="15">
        <v>0</v>
      </c>
      <c r="R19" s="11">
        <f>Q19/SUM(Q$2:Q$49)</f>
        <v>0</v>
      </c>
      <c r="S19" s="12">
        <v>0</v>
      </c>
      <c r="T19" s="15">
        <v>5</v>
      </c>
      <c r="U19" s="12">
        <v>36</v>
      </c>
      <c r="V19" s="15">
        <f>SUM(E19,H19,J19,M19,O19,S19,U19)</f>
        <v>184</v>
      </c>
      <c r="W19" s="15">
        <v>18</v>
      </c>
    </row>
    <row r="20" spans="1:23" ht="24.75" customHeight="1" x14ac:dyDescent="0.25">
      <c r="A20" s="16" t="s">
        <v>58</v>
      </c>
      <c r="B20" s="17">
        <v>86870</v>
      </c>
      <c r="C20" s="10">
        <v>2654</v>
      </c>
      <c r="D20" s="11">
        <f>C20/B20</f>
        <v>3.055139864164844E-2</v>
      </c>
      <c r="E20" s="12">
        <v>21</v>
      </c>
      <c r="F20" s="10">
        <v>1855</v>
      </c>
      <c r="G20" s="11">
        <f>F20/C20</f>
        <v>0.6989449886963075</v>
      </c>
      <c r="H20" s="12">
        <v>22</v>
      </c>
      <c r="I20" s="11">
        <f>F20/B20</f>
        <v>2.1353746978243351E-2</v>
      </c>
      <c r="J20" s="12">
        <v>20</v>
      </c>
      <c r="K20" s="13">
        <f>186+48+373+1+1</f>
        <v>609</v>
      </c>
      <c r="L20" s="11">
        <f>K20/B20</f>
        <v>7.0104754230459303E-3</v>
      </c>
      <c r="M20" s="12">
        <v>18</v>
      </c>
      <c r="N20" s="11">
        <f>K20/F20</f>
        <v>0.32830188679245281</v>
      </c>
      <c r="O20" s="12">
        <v>22</v>
      </c>
      <c r="P20" s="14">
        <v>3</v>
      </c>
      <c r="Q20" s="15">
        <f>B20/P20</f>
        <v>28956.666666666668</v>
      </c>
      <c r="R20" s="11">
        <f>Q20/SUM(Q$2:Q$49)</f>
        <v>5.0478925121397553E-2</v>
      </c>
      <c r="S20" s="12">
        <v>36</v>
      </c>
      <c r="T20" s="15">
        <v>10</v>
      </c>
      <c r="U20" s="12">
        <v>43</v>
      </c>
      <c r="V20" s="15">
        <f>SUM(E20,H20,J20,M20,O20,S20,U20)</f>
        <v>182</v>
      </c>
      <c r="W20" s="15">
        <v>19</v>
      </c>
    </row>
    <row r="21" spans="1:23" ht="24.75" customHeight="1" x14ac:dyDescent="0.25">
      <c r="A21" s="8" t="s">
        <v>23</v>
      </c>
      <c r="B21" s="9">
        <v>14123</v>
      </c>
      <c r="C21" s="10">
        <v>642</v>
      </c>
      <c r="D21" s="11">
        <f>C21/B21</f>
        <v>4.5457763931176093E-2</v>
      </c>
      <c r="E21" s="12">
        <v>32</v>
      </c>
      <c r="F21" s="15">
        <v>436</v>
      </c>
      <c r="G21" s="11">
        <f>F21/C21</f>
        <v>0.67912772585669778</v>
      </c>
      <c r="H21" s="12">
        <v>21</v>
      </c>
      <c r="I21" s="11">
        <f>F21/B21</f>
        <v>3.0871627841110246E-2</v>
      </c>
      <c r="J21" s="12">
        <v>30</v>
      </c>
      <c r="K21" s="13">
        <f>94+92</f>
        <v>186</v>
      </c>
      <c r="L21" s="11">
        <f>K21/B21</f>
        <v>1.3170006372583729E-2</v>
      </c>
      <c r="M21" s="12">
        <v>31</v>
      </c>
      <c r="N21" s="11">
        <f>K21/F21</f>
        <v>0.42660550458715596</v>
      </c>
      <c r="O21" s="12">
        <v>29</v>
      </c>
      <c r="P21" s="14">
        <v>0</v>
      </c>
      <c r="Q21" s="15">
        <v>0</v>
      </c>
      <c r="R21" s="11">
        <f>Q21/SUM(Q$2:Q$49)</f>
        <v>0</v>
      </c>
      <c r="S21" s="12">
        <v>0</v>
      </c>
      <c r="T21" s="15">
        <v>6</v>
      </c>
      <c r="U21" s="12">
        <v>37</v>
      </c>
      <c r="V21" s="15">
        <f>SUM(E21,H21,J21,M21,O21,S21,U21)</f>
        <v>180</v>
      </c>
      <c r="W21" s="15">
        <v>20</v>
      </c>
    </row>
    <row r="22" spans="1:23" ht="24.75" customHeight="1" x14ac:dyDescent="0.25">
      <c r="A22" s="8" t="s">
        <v>39</v>
      </c>
      <c r="B22" s="9">
        <v>19053</v>
      </c>
      <c r="C22" s="10">
        <v>611</v>
      </c>
      <c r="D22" s="11">
        <f>C22/B22</f>
        <v>3.2068440665511989E-2</v>
      </c>
      <c r="E22" s="12">
        <v>24</v>
      </c>
      <c r="F22" s="15">
        <v>662</v>
      </c>
      <c r="G22" s="11">
        <f>F22/C22</f>
        <v>1.0834697217675942</v>
      </c>
      <c r="H22" s="12">
        <v>38</v>
      </c>
      <c r="I22" s="11">
        <f>F22/B22</f>
        <v>3.4745184485382878E-2</v>
      </c>
      <c r="J22" s="12">
        <v>33</v>
      </c>
      <c r="K22" s="13">
        <f>101+30+85</f>
        <v>216</v>
      </c>
      <c r="L22" s="11">
        <f>K22/B22</f>
        <v>1.1336797354747285E-2</v>
      </c>
      <c r="M22" s="12">
        <v>28</v>
      </c>
      <c r="N22" s="11">
        <f>K22/F22</f>
        <v>0.32628398791540786</v>
      </c>
      <c r="O22" s="12">
        <v>20</v>
      </c>
      <c r="P22" s="14">
        <v>0</v>
      </c>
      <c r="Q22" s="15">
        <v>0</v>
      </c>
      <c r="R22" s="11">
        <f>Q22/SUM(Q$2:Q$49)</f>
        <v>0</v>
      </c>
      <c r="S22" s="12">
        <v>0</v>
      </c>
      <c r="T22" s="15">
        <v>4</v>
      </c>
      <c r="U22" s="12">
        <v>34</v>
      </c>
      <c r="V22" s="15">
        <f>SUM(E22,H22,J22,M22,O22,S22,U22)</f>
        <v>177</v>
      </c>
      <c r="W22" s="15">
        <v>21</v>
      </c>
    </row>
    <row r="23" spans="1:23" ht="24.75" customHeight="1" x14ac:dyDescent="0.25">
      <c r="A23" s="8" t="s">
        <v>21</v>
      </c>
      <c r="B23" s="9">
        <v>96374</v>
      </c>
      <c r="C23" s="10">
        <v>5427</v>
      </c>
      <c r="D23" s="11">
        <f>C23/B23</f>
        <v>5.6311868346234459E-2</v>
      </c>
      <c r="E23" s="12">
        <v>37</v>
      </c>
      <c r="F23" s="15">
        <v>3968</v>
      </c>
      <c r="G23" s="11">
        <f>F23/C23</f>
        <v>0.73115901971623365</v>
      </c>
      <c r="H23" s="12">
        <v>25</v>
      </c>
      <c r="I23" s="11">
        <f>F23/B23</f>
        <v>4.1172930458422394E-2</v>
      </c>
      <c r="J23" s="12">
        <v>36</v>
      </c>
      <c r="K23" s="13">
        <f>853+81+101</f>
        <v>1035</v>
      </c>
      <c r="L23" s="11">
        <f>K23/B23</f>
        <v>1.0739411044472576E-2</v>
      </c>
      <c r="M23" s="12">
        <v>24</v>
      </c>
      <c r="N23" s="11">
        <f>K23/F23</f>
        <v>0.26083669354838712</v>
      </c>
      <c r="O23" s="12">
        <v>12</v>
      </c>
      <c r="P23" s="14">
        <v>3</v>
      </c>
      <c r="Q23" s="15">
        <f>B23/P23</f>
        <v>32124.666666666668</v>
      </c>
      <c r="R23" s="11">
        <f>Q23/SUM(Q$2:Q$49)</f>
        <v>5.6001564747894181E-2</v>
      </c>
      <c r="S23" s="12">
        <v>34</v>
      </c>
      <c r="T23" s="15">
        <v>0</v>
      </c>
      <c r="U23" s="12">
        <v>0</v>
      </c>
      <c r="V23" s="15">
        <f>SUM(E23,H23,J23,M23,O23,S23,U23)</f>
        <v>168</v>
      </c>
      <c r="W23" s="15">
        <v>22</v>
      </c>
    </row>
    <row r="24" spans="1:23" ht="24.75" customHeight="1" x14ac:dyDescent="0.25">
      <c r="A24" s="8" t="s">
        <v>33</v>
      </c>
      <c r="B24" s="9">
        <v>45623</v>
      </c>
      <c r="C24" s="10">
        <v>1528</v>
      </c>
      <c r="D24" s="11">
        <f>C24/B24</f>
        <v>3.3491879096069967E-2</v>
      </c>
      <c r="E24" s="12">
        <v>26</v>
      </c>
      <c r="F24" s="15">
        <v>1595</v>
      </c>
      <c r="G24" s="11">
        <f>F24/C24</f>
        <v>1.043848167539267</v>
      </c>
      <c r="H24" s="12">
        <v>34</v>
      </c>
      <c r="I24" s="11">
        <f>F24/B24</f>
        <v>3.4960436621879316E-2</v>
      </c>
      <c r="J24" s="12">
        <v>34</v>
      </c>
      <c r="K24" s="13">
        <f>231+60+218</f>
        <v>509</v>
      </c>
      <c r="L24" s="11">
        <f>K24/B24</f>
        <v>1.1156653442342679E-2</v>
      </c>
      <c r="M24" s="12">
        <v>27</v>
      </c>
      <c r="N24" s="11">
        <f>K24/F24</f>
        <v>0.31912225705329156</v>
      </c>
      <c r="O24" s="12">
        <v>17</v>
      </c>
      <c r="P24" s="14">
        <v>1</v>
      </c>
      <c r="Q24" s="15">
        <f>B24/P24</f>
        <v>45623</v>
      </c>
      <c r="R24" s="11">
        <f>Q24/SUM(Q$2:Q$49)</f>
        <v>7.9532634999891341E-2</v>
      </c>
      <c r="S24" s="12">
        <v>29</v>
      </c>
      <c r="T24" s="15">
        <v>0</v>
      </c>
      <c r="U24" s="12">
        <v>0</v>
      </c>
      <c r="V24" s="15">
        <f>SUM(E24,H24,J24,M24,O24,S24,U24)</f>
        <v>167</v>
      </c>
      <c r="W24" s="15">
        <v>23</v>
      </c>
    </row>
    <row r="25" spans="1:23" ht="24.75" customHeight="1" x14ac:dyDescent="0.25">
      <c r="A25" s="8" t="s">
        <v>11</v>
      </c>
      <c r="B25" s="9">
        <v>17410</v>
      </c>
      <c r="C25" s="10">
        <v>1295</v>
      </c>
      <c r="D25" s="11">
        <f>C25/B25</f>
        <v>7.4382538770821363E-2</v>
      </c>
      <c r="E25" s="12">
        <v>44</v>
      </c>
      <c r="F25" s="15">
        <v>298</v>
      </c>
      <c r="G25" s="11">
        <f>F25/C25</f>
        <v>0.23011583011583012</v>
      </c>
      <c r="H25" s="12">
        <v>3</v>
      </c>
      <c r="I25" s="11">
        <f>F25/B25</f>
        <v>1.7116599655370476E-2</v>
      </c>
      <c r="J25" s="12">
        <v>15</v>
      </c>
      <c r="K25" s="13">
        <f>121+25+44</f>
        <v>190</v>
      </c>
      <c r="L25" s="11">
        <f>K25/B25</f>
        <v>1.0913268236645606E-2</v>
      </c>
      <c r="M25" s="12">
        <v>26</v>
      </c>
      <c r="N25" s="11">
        <f>K25/F25</f>
        <v>0.63758389261744963</v>
      </c>
      <c r="O25" s="12">
        <v>42</v>
      </c>
      <c r="P25" s="14">
        <v>0</v>
      </c>
      <c r="Q25" s="15">
        <v>0</v>
      </c>
      <c r="R25" s="11">
        <f>Q25/SUM(Q$2:Q$49)</f>
        <v>0</v>
      </c>
      <c r="S25" s="12">
        <v>0</v>
      </c>
      <c r="T25" s="15">
        <v>5</v>
      </c>
      <c r="U25" s="12">
        <v>36</v>
      </c>
      <c r="V25" s="15">
        <f>SUM(E25,H25,J25,M25,O25,S25,U25)</f>
        <v>166</v>
      </c>
      <c r="W25" s="15">
        <v>24</v>
      </c>
    </row>
    <row r="26" spans="1:23" ht="24.75" customHeight="1" x14ac:dyDescent="0.25">
      <c r="A26" s="8" t="s">
        <v>25</v>
      </c>
      <c r="B26" s="9">
        <v>17941</v>
      </c>
      <c r="C26" s="10">
        <v>662</v>
      </c>
      <c r="D26" s="11">
        <f>C26/B26</f>
        <v>3.6898723594002564E-2</v>
      </c>
      <c r="E26" s="12">
        <v>28</v>
      </c>
      <c r="F26" s="15">
        <v>337</v>
      </c>
      <c r="G26" s="11">
        <f>F26/C26</f>
        <v>0.50906344410876136</v>
      </c>
      <c r="H26" s="12">
        <v>12</v>
      </c>
      <c r="I26" s="11">
        <f>F26/B26</f>
        <v>1.8783791315980156E-2</v>
      </c>
      <c r="J26" s="12">
        <v>17</v>
      </c>
      <c r="K26" s="13">
        <f>92+6</f>
        <v>98</v>
      </c>
      <c r="L26" s="11">
        <f>K26/B26</f>
        <v>5.4623488099882949E-3</v>
      </c>
      <c r="M26" s="12">
        <v>14</v>
      </c>
      <c r="N26" s="11">
        <f>K26/F26</f>
        <v>0.29080118694362017</v>
      </c>
      <c r="O26" s="12">
        <v>16</v>
      </c>
      <c r="P26" s="14">
        <v>1</v>
      </c>
      <c r="Q26" s="15">
        <f>B26/P26</f>
        <v>17941</v>
      </c>
      <c r="R26" s="11">
        <f>Q26/SUM(Q$2:Q$49)</f>
        <v>3.1275782051444462E-2</v>
      </c>
      <c r="S26" s="12">
        <v>42</v>
      </c>
      <c r="T26" s="15">
        <v>4</v>
      </c>
      <c r="U26" s="12">
        <v>34</v>
      </c>
      <c r="V26" s="15">
        <f>SUM(E26,H26,J26,M26,O26,S26,U26)</f>
        <v>163</v>
      </c>
      <c r="W26" s="15">
        <v>25</v>
      </c>
    </row>
    <row r="27" spans="1:23" ht="24.75" customHeight="1" x14ac:dyDescent="0.25">
      <c r="A27" s="8" t="s">
        <v>27</v>
      </c>
      <c r="B27" s="9">
        <v>8412</v>
      </c>
      <c r="C27" s="10">
        <v>324</v>
      </c>
      <c r="D27" s="11">
        <f>C27/B27</f>
        <v>3.8516405135520682E-2</v>
      </c>
      <c r="E27" s="12">
        <v>29</v>
      </c>
      <c r="F27" s="15">
        <v>265</v>
      </c>
      <c r="G27" s="11">
        <f>F27/C27</f>
        <v>0.8179012345679012</v>
      </c>
      <c r="H27" s="12">
        <v>27</v>
      </c>
      <c r="I27" s="11">
        <f>F27/B27</f>
        <v>3.1502615311459821E-2</v>
      </c>
      <c r="J27" s="12">
        <v>31</v>
      </c>
      <c r="K27" s="13">
        <f>113+35</f>
        <v>148</v>
      </c>
      <c r="L27" s="11">
        <f>K27/B27</f>
        <v>1.7593913456966238E-2</v>
      </c>
      <c r="M27" s="12">
        <v>38</v>
      </c>
      <c r="N27" s="11">
        <f>K27/F27</f>
        <v>0.55849056603773584</v>
      </c>
      <c r="O27" s="12">
        <v>38</v>
      </c>
      <c r="P27" s="14">
        <v>0</v>
      </c>
      <c r="Q27" s="15">
        <v>0</v>
      </c>
      <c r="R27" s="11">
        <f>Q27/SUM(Q$2:Q$49)</f>
        <v>0</v>
      </c>
      <c r="S27" s="12">
        <v>0</v>
      </c>
      <c r="T27" s="15">
        <v>0</v>
      </c>
      <c r="U27" s="12">
        <v>0</v>
      </c>
      <c r="V27" s="15">
        <f>SUM(E27,H27,J27,M27,O27,S27,U27)</f>
        <v>163</v>
      </c>
      <c r="W27" s="15">
        <v>26</v>
      </c>
    </row>
    <row r="28" spans="1:23" ht="24.75" customHeight="1" x14ac:dyDescent="0.25">
      <c r="A28" s="8" t="s">
        <v>14</v>
      </c>
      <c r="B28" s="9">
        <v>67337</v>
      </c>
      <c r="C28" s="10">
        <v>4522</v>
      </c>
      <c r="D28" s="11">
        <f>C28/B28</f>
        <v>6.7154758899267863E-2</v>
      </c>
      <c r="E28" s="12">
        <v>41</v>
      </c>
      <c r="F28" s="15">
        <v>1213</v>
      </c>
      <c r="G28" s="11">
        <f>F28/C28</f>
        <v>0.26824413976116762</v>
      </c>
      <c r="H28" s="12">
        <v>4</v>
      </c>
      <c r="I28" s="11">
        <f>F28/B28</f>
        <v>1.8013870531802725E-2</v>
      </c>
      <c r="J28" s="12">
        <v>16</v>
      </c>
      <c r="K28" s="13">
        <f>381+108+8+221</f>
        <v>718</v>
      </c>
      <c r="L28" s="11">
        <f>K28/B28</f>
        <v>1.0662785689888174E-2</v>
      </c>
      <c r="M28" s="12">
        <v>24</v>
      </c>
      <c r="N28" s="11">
        <f>K28/F28</f>
        <v>0.59192085737840061</v>
      </c>
      <c r="O28" s="12">
        <v>40</v>
      </c>
      <c r="P28" s="14">
        <v>0</v>
      </c>
      <c r="Q28" s="15">
        <v>0</v>
      </c>
      <c r="R28" s="11">
        <f>Q28/SUM(Q$2:Q$49)</f>
        <v>0</v>
      </c>
      <c r="S28" s="12">
        <v>0</v>
      </c>
      <c r="T28" s="15">
        <v>2</v>
      </c>
      <c r="U28" s="12">
        <v>28</v>
      </c>
      <c r="V28" s="15">
        <f>SUM(E28,H28,J28,M28,O28,S28,U28)</f>
        <v>153</v>
      </c>
      <c r="W28" s="15">
        <v>27</v>
      </c>
    </row>
    <row r="29" spans="1:23" ht="24.75" customHeight="1" x14ac:dyDescent="0.25">
      <c r="A29" s="8" t="s">
        <v>35</v>
      </c>
      <c r="B29" s="9">
        <v>18791</v>
      </c>
      <c r="C29" s="15">
        <v>573</v>
      </c>
      <c r="D29" s="11">
        <f>C29/B29</f>
        <v>3.0493321270821137E-2</v>
      </c>
      <c r="E29" s="12">
        <v>19</v>
      </c>
      <c r="F29" s="15">
        <v>998</v>
      </c>
      <c r="G29" s="11">
        <f>F29/C29</f>
        <v>1.7417102966841187</v>
      </c>
      <c r="H29" s="12">
        <v>46</v>
      </c>
      <c r="I29" s="11">
        <f>F29/B29</f>
        <v>5.3110531637486032E-2</v>
      </c>
      <c r="J29" s="12">
        <v>40</v>
      </c>
      <c r="K29" s="13">
        <f>163+31+83</f>
        <v>277</v>
      </c>
      <c r="L29" s="11">
        <f>K29/B29</f>
        <v>1.4741099462508648E-2</v>
      </c>
      <c r="M29" s="12">
        <v>34</v>
      </c>
      <c r="N29" s="11">
        <f>K29/F29</f>
        <v>0.27755511022044088</v>
      </c>
      <c r="O29" s="12">
        <v>14</v>
      </c>
      <c r="P29" s="14">
        <v>0</v>
      </c>
      <c r="Q29" s="15">
        <v>0</v>
      </c>
      <c r="R29" s="11">
        <f>Q29/SUM(Q$2:Q$49)</f>
        <v>0</v>
      </c>
      <c r="S29" s="12">
        <v>0</v>
      </c>
      <c r="T29" s="15">
        <v>0</v>
      </c>
      <c r="U29" s="12">
        <v>0</v>
      </c>
      <c r="V29" s="15">
        <f>SUM(E29,H29,J29,M29,O29,S29,U29)</f>
        <v>153</v>
      </c>
      <c r="W29" s="15">
        <v>27</v>
      </c>
    </row>
    <row r="30" spans="1:23" ht="24.75" customHeight="1" x14ac:dyDescent="0.25">
      <c r="A30" s="8" t="s">
        <v>19</v>
      </c>
      <c r="B30" s="9">
        <v>36052</v>
      </c>
      <c r="C30" s="10">
        <v>2464</v>
      </c>
      <c r="D30" s="11">
        <f>C30/B30</f>
        <v>6.8345722844779758E-2</v>
      </c>
      <c r="E30" s="12">
        <v>42</v>
      </c>
      <c r="F30" s="15">
        <v>856</v>
      </c>
      <c r="G30" s="11">
        <f>F30/C30</f>
        <v>0.34740259740259738</v>
      </c>
      <c r="H30" s="12">
        <v>5</v>
      </c>
      <c r="I30" s="11">
        <f>F30/B30</f>
        <v>2.3743481637634529E-2</v>
      </c>
      <c r="J30" s="12">
        <v>25</v>
      </c>
      <c r="K30" s="13">
        <f>173+38+130</f>
        <v>341</v>
      </c>
      <c r="L30" s="11">
        <f>K30/B30</f>
        <v>9.4585598579829139E-3</v>
      </c>
      <c r="M30" s="12">
        <v>20</v>
      </c>
      <c r="N30" s="11">
        <f>K30/F30</f>
        <v>0.39836448598130841</v>
      </c>
      <c r="O30" s="12">
        <v>27</v>
      </c>
      <c r="P30" s="14">
        <v>1</v>
      </c>
      <c r="Q30" s="15">
        <f>B30/P30</f>
        <v>36052</v>
      </c>
      <c r="R30" s="11">
        <f>Q30/SUM(Q$2:Q$49)</f>
        <v>6.2847917870724912E-2</v>
      </c>
      <c r="S30" s="12">
        <v>32</v>
      </c>
      <c r="T30" s="15">
        <v>0</v>
      </c>
      <c r="U30" s="12">
        <v>0</v>
      </c>
      <c r="V30" s="15">
        <f>SUM(E30,H30,J30,M30,O30,S30,U30)</f>
        <v>151</v>
      </c>
      <c r="W30" s="15">
        <v>29</v>
      </c>
    </row>
    <row r="31" spans="1:23" ht="24.75" customHeight="1" x14ac:dyDescent="0.25">
      <c r="A31" s="8" t="s">
        <v>50</v>
      </c>
      <c r="B31" s="9">
        <v>21991</v>
      </c>
      <c r="C31" s="10">
        <v>486</v>
      </c>
      <c r="D31" s="11">
        <f>C31/B31</f>
        <v>2.2099949979537084E-2</v>
      </c>
      <c r="E31" s="12">
        <v>12</v>
      </c>
      <c r="F31" s="15">
        <v>594</v>
      </c>
      <c r="G31" s="11">
        <f>F31/C31</f>
        <v>1.2222222222222223</v>
      </c>
      <c r="H31" s="12">
        <v>42</v>
      </c>
      <c r="I31" s="11">
        <f>F31/B31</f>
        <v>2.7011049974989768E-2</v>
      </c>
      <c r="J31" s="12">
        <v>27</v>
      </c>
      <c r="K31" s="13">
        <f>144+48+6+89</f>
        <v>287</v>
      </c>
      <c r="L31" s="11">
        <f>K31/B31</f>
        <v>1.305079350643445E-2</v>
      </c>
      <c r="M31" s="12">
        <v>29</v>
      </c>
      <c r="N31" s="11">
        <f>K31/F31</f>
        <v>0.48316498316498319</v>
      </c>
      <c r="O31" s="12">
        <v>35</v>
      </c>
      <c r="P31" s="14">
        <v>0</v>
      </c>
      <c r="Q31" s="15">
        <v>0</v>
      </c>
      <c r="R31" s="11">
        <f>Q31/SUM(Q$2:Q$49)</f>
        <v>0</v>
      </c>
      <c r="S31" s="12">
        <v>0</v>
      </c>
      <c r="T31" s="15">
        <v>0</v>
      </c>
      <c r="U31" s="12">
        <v>0</v>
      </c>
      <c r="V31" s="15">
        <f>SUM(E31,H31,J31,M31,O31,S31,U31)</f>
        <v>145</v>
      </c>
      <c r="W31" s="15">
        <v>30</v>
      </c>
    </row>
    <row r="32" spans="1:23" ht="24.75" customHeight="1" x14ac:dyDescent="0.25">
      <c r="A32" s="8" t="s">
        <v>48</v>
      </c>
      <c r="B32" s="9">
        <v>19180</v>
      </c>
      <c r="C32" s="10">
        <v>297</v>
      </c>
      <c r="D32" s="11">
        <f>C32/B32</f>
        <v>1.548488008342023E-2</v>
      </c>
      <c r="E32" s="12">
        <v>7</v>
      </c>
      <c r="F32" s="15">
        <v>321</v>
      </c>
      <c r="G32" s="11">
        <f>F32/C32</f>
        <v>1.0808080808080809</v>
      </c>
      <c r="H32" s="12">
        <v>36</v>
      </c>
      <c r="I32" s="11">
        <f>F32/B32</f>
        <v>1.6736183524504691E-2</v>
      </c>
      <c r="J32" s="12">
        <v>14</v>
      </c>
      <c r="K32" s="13">
        <f>21+12+15</f>
        <v>48</v>
      </c>
      <c r="L32" s="11">
        <f>K32/B32</f>
        <v>2.5026068821689261E-3</v>
      </c>
      <c r="M32" s="12">
        <v>7</v>
      </c>
      <c r="N32" s="11">
        <f>K32/F32</f>
        <v>0.14953271028037382</v>
      </c>
      <c r="O32" s="12">
        <v>2</v>
      </c>
      <c r="P32" s="14">
        <v>1</v>
      </c>
      <c r="Q32" s="15">
        <f>B32/P32</f>
        <v>19180</v>
      </c>
      <c r="R32" s="11">
        <f>Q32/SUM(Q$2:Q$49)</f>
        <v>3.3435678041731497E-2</v>
      </c>
      <c r="S32" s="12">
        <v>39</v>
      </c>
      <c r="T32" s="15">
        <v>2</v>
      </c>
      <c r="U32" s="12">
        <v>28</v>
      </c>
      <c r="V32" s="15">
        <f>SUM(E32,H32,J32,M32,O32,S32,U32)</f>
        <v>133</v>
      </c>
      <c r="W32" s="15">
        <v>31</v>
      </c>
    </row>
    <row r="33" spans="1:23" ht="24.75" customHeight="1" x14ac:dyDescent="0.25">
      <c r="A33" s="8" t="s">
        <v>34</v>
      </c>
      <c r="B33" s="9">
        <v>22561</v>
      </c>
      <c r="C33" s="10">
        <v>1293</v>
      </c>
      <c r="D33" s="11">
        <f>C33/B33</f>
        <v>5.7311289393200654E-2</v>
      </c>
      <c r="E33" s="12">
        <v>38</v>
      </c>
      <c r="F33" s="15">
        <v>861</v>
      </c>
      <c r="G33" s="11">
        <f>F33/C33</f>
        <v>0.66589327146171695</v>
      </c>
      <c r="H33" s="12">
        <v>20</v>
      </c>
      <c r="I33" s="11">
        <f>F33/B33</f>
        <v>3.8163201985727584E-2</v>
      </c>
      <c r="J33" s="12">
        <v>35</v>
      </c>
      <c r="K33" s="13">
        <f>160+63+20</f>
        <v>243</v>
      </c>
      <c r="L33" s="11">
        <f>K33/B33</f>
        <v>1.0770799166703603E-2</v>
      </c>
      <c r="M33" s="12">
        <v>25</v>
      </c>
      <c r="N33" s="11">
        <f>K33/F33</f>
        <v>0.28222996515679444</v>
      </c>
      <c r="O33" s="12">
        <v>15</v>
      </c>
      <c r="P33" s="14">
        <v>0</v>
      </c>
      <c r="Q33" s="15">
        <v>0</v>
      </c>
      <c r="R33" s="11">
        <f>Q33/SUM(Q$2:Q$49)</f>
        <v>0</v>
      </c>
      <c r="S33" s="12">
        <v>0</v>
      </c>
      <c r="T33" s="15">
        <v>0</v>
      </c>
      <c r="U33" s="12">
        <v>0</v>
      </c>
      <c r="V33" s="15">
        <f>SUM(E33,H33,J33,M33,O33,S33,U33)</f>
        <v>133</v>
      </c>
      <c r="W33" s="15">
        <v>31</v>
      </c>
    </row>
    <row r="34" spans="1:23" ht="24.75" customHeight="1" x14ac:dyDescent="0.25">
      <c r="A34" s="16" t="s">
        <v>57</v>
      </c>
      <c r="B34" s="17">
        <v>60804</v>
      </c>
      <c r="C34" s="15">
        <v>1668</v>
      </c>
      <c r="D34" s="11">
        <f>C34/B34</f>
        <v>2.7432405762778764E-2</v>
      </c>
      <c r="E34" s="12">
        <v>15</v>
      </c>
      <c r="F34" s="15">
        <v>854</v>
      </c>
      <c r="G34" s="11">
        <f>F34/C34</f>
        <v>0.51199040767386095</v>
      </c>
      <c r="H34" s="12">
        <v>14</v>
      </c>
      <c r="I34" s="11">
        <f>F34/B34</f>
        <v>1.4045128609959871E-2</v>
      </c>
      <c r="J34" s="12">
        <v>12</v>
      </c>
      <c r="K34" s="13">
        <f>228+141+32</f>
        <v>401</v>
      </c>
      <c r="L34" s="11">
        <f>K34/B34</f>
        <v>6.5949608578382999E-3</v>
      </c>
      <c r="M34" s="12">
        <v>17</v>
      </c>
      <c r="N34" s="11">
        <f>K34/F34</f>
        <v>0.46955503512880564</v>
      </c>
      <c r="O34" s="12">
        <v>34</v>
      </c>
      <c r="P34" s="14">
        <v>0</v>
      </c>
      <c r="Q34" s="15">
        <v>0</v>
      </c>
      <c r="R34" s="11">
        <f>Q34/SUM(Q$2:Q$49)</f>
        <v>0</v>
      </c>
      <c r="S34" s="12">
        <v>0</v>
      </c>
      <c r="T34" s="15">
        <v>8</v>
      </c>
      <c r="U34" s="12">
        <v>38</v>
      </c>
      <c r="V34" s="15">
        <f>SUM(E34,H34,J34,M34,O34,S34,U34)</f>
        <v>130</v>
      </c>
      <c r="W34" s="15">
        <v>33</v>
      </c>
    </row>
    <row r="35" spans="1:23" ht="24.75" customHeight="1" x14ac:dyDescent="0.25">
      <c r="A35" s="16" t="s">
        <v>54</v>
      </c>
      <c r="B35" s="18">
        <v>960768</v>
      </c>
      <c r="C35" s="15">
        <v>18453</v>
      </c>
      <c r="D35" s="11">
        <f>C35/B35</f>
        <v>1.9206509792166267E-2</v>
      </c>
      <c r="E35" s="12">
        <v>10</v>
      </c>
      <c r="F35" s="15">
        <v>9421</v>
      </c>
      <c r="G35" s="11">
        <f>F35/C35</f>
        <v>0.51054029155150926</v>
      </c>
      <c r="H35" s="12">
        <v>13</v>
      </c>
      <c r="I35" s="11">
        <f>F35/B35</f>
        <v>9.8056971089794838E-3</v>
      </c>
      <c r="J35" s="12">
        <v>7</v>
      </c>
      <c r="K35" s="13">
        <f>1703+214+246+435</f>
        <v>2598</v>
      </c>
      <c r="L35" s="11">
        <f>K35/B35</f>
        <v>2.7040867306155074E-3</v>
      </c>
      <c r="M35" s="12">
        <v>8</v>
      </c>
      <c r="N35" s="11">
        <f>K35/F35</f>
        <v>0.27576690372571916</v>
      </c>
      <c r="O35" s="12">
        <v>13</v>
      </c>
      <c r="P35" s="14">
        <v>9</v>
      </c>
      <c r="Q35" s="15">
        <f>B35/P35</f>
        <v>106752</v>
      </c>
      <c r="R35" s="11">
        <f>Q35/SUM(Q$2:Q$49)</f>
        <v>0.186096220141341</v>
      </c>
      <c r="S35" s="12">
        <v>28</v>
      </c>
      <c r="T35" s="15">
        <v>315</v>
      </c>
      <c r="U35" s="12">
        <v>48</v>
      </c>
      <c r="V35" s="15">
        <f>SUM(E35,H35,J35,M35,O35,S35,U35)</f>
        <v>127</v>
      </c>
      <c r="W35" s="15">
        <v>34</v>
      </c>
    </row>
    <row r="36" spans="1:23" ht="24.75" customHeight="1" x14ac:dyDescent="0.25">
      <c r="A36" s="8" t="s">
        <v>18</v>
      </c>
      <c r="B36" s="9">
        <v>13541</v>
      </c>
      <c r="C36" s="10">
        <v>710</v>
      </c>
      <c r="D36" s="11">
        <f>C36/B36</f>
        <v>5.2433350564950888E-2</v>
      </c>
      <c r="E36" s="12">
        <v>35</v>
      </c>
      <c r="F36" s="15">
        <v>296</v>
      </c>
      <c r="G36" s="11">
        <f>F36/C36</f>
        <v>0.41690140845070423</v>
      </c>
      <c r="H36" s="12">
        <v>8</v>
      </c>
      <c r="I36" s="11">
        <f>F36/B36</f>
        <v>2.1859537700317556E-2</v>
      </c>
      <c r="J36" s="12">
        <v>22</v>
      </c>
      <c r="K36" s="13">
        <f>10+34+4</f>
        <v>48</v>
      </c>
      <c r="L36" s="11">
        <f>K36/B36</f>
        <v>3.5447898973487925E-3</v>
      </c>
      <c r="M36" s="12">
        <v>11</v>
      </c>
      <c r="N36" s="11">
        <f>K36/F36</f>
        <v>0.16216216216216217</v>
      </c>
      <c r="O36" s="12">
        <v>3</v>
      </c>
      <c r="P36" s="15">
        <v>0</v>
      </c>
      <c r="Q36" s="15">
        <v>0</v>
      </c>
      <c r="R36" s="11">
        <f>Q36/SUM(Q$2:Q$49)</f>
        <v>0</v>
      </c>
      <c r="S36" s="12">
        <v>0</v>
      </c>
      <c r="T36" s="15">
        <v>10</v>
      </c>
      <c r="U36" s="12">
        <v>43</v>
      </c>
      <c r="V36" s="15">
        <f>SUM(E36,H36,J36,M36,O36,S36,U36)</f>
        <v>122</v>
      </c>
      <c r="W36" s="15">
        <v>35</v>
      </c>
    </row>
    <row r="37" spans="1:23" ht="24.75" customHeight="1" x14ac:dyDescent="0.25">
      <c r="A37" s="8" t="s">
        <v>52</v>
      </c>
      <c r="B37" s="9">
        <v>28127</v>
      </c>
      <c r="C37" s="10">
        <v>85</v>
      </c>
      <c r="D37" s="11">
        <f>C37/B37</f>
        <v>3.022007323923632E-3</v>
      </c>
      <c r="E37" s="12">
        <v>1</v>
      </c>
      <c r="F37" s="15">
        <v>92</v>
      </c>
      <c r="G37" s="11">
        <f>F37/C37</f>
        <v>1.0823529411764705</v>
      </c>
      <c r="H37" s="12">
        <v>37</v>
      </c>
      <c r="I37" s="11">
        <f>F37/B37</f>
        <v>3.2708785153055782E-3</v>
      </c>
      <c r="J37" s="12">
        <v>2</v>
      </c>
      <c r="K37" s="13">
        <f>15+4+2</f>
        <v>21</v>
      </c>
      <c r="L37" s="11">
        <f>K37/B37</f>
        <v>7.4661357414583854E-4</v>
      </c>
      <c r="M37" s="12">
        <v>1</v>
      </c>
      <c r="N37" s="11">
        <f>K37/F37</f>
        <v>0.22826086956521738</v>
      </c>
      <c r="O37" s="12">
        <v>10</v>
      </c>
      <c r="P37" s="14">
        <v>1</v>
      </c>
      <c r="Q37" s="15">
        <f>B37/P37</f>
        <v>28127</v>
      </c>
      <c r="R37" s="11">
        <f>Q37/SUM(Q$2:Q$49)</f>
        <v>4.9032602517194046E-2</v>
      </c>
      <c r="S37" s="12">
        <v>37</v>
      </c>
      <c r="T37" s="15">
        <v>2</v>
      </c>
      <c r="U37" s="12">
        <v>28</v>
      </c>
      <c r="V37" s="15">
        <f>SUM(E37,H37,J37,M37,O37,S37,U37)</f>
        <v>116</v>
      </c>
      <c r="W37" s="15">
        <v>36</v>
      </c>
    </row>
    <row r="38" spans="1:23" ht="24.75" customHeight="1" x14ac:dyDescent="0.25">
      <c r="A38" s="8" t="s">
        <v>42</v>
      </c>
      <c r="B38" s="9">
        <v>98351</v>
      </c>
      <c r="C38" s="10">
        <v>2487</v>
      </c>
      <c r="D38" s="11">
        <f>C38/B38</f>
        <v>2.5286982338766254E-2</v>
      </c>
      <c r="E38" s="12">
        <v>13</v>
      </c>
      <c r="F38" s="15">
        <v>2054</v>
      </c>
      <c r="G38" s="11">
        <f>F38/C38</f>
        <v>0.82589465219139524</v>
      </c>
      <c r="H38" s="12">
        <v>28</v>
      </c>
      <c r="I38" s="11">
        <f>F38/B38</f>
        <v>2.0884383483645311E-2</v>
      </c>
      <c r="J38" s="12">
        <v>19</v>
      </c>
      <c r="K38" s="13">
        <f>323+284+44+289</f>
        <v>940</v>
      </c>
      <c r="L38" s="11">
        <f>K38/B38</f>
        <v>9.5576049048814952E-3</v>
      </c>
      <c r="M38" s="12">
        <v>22</v>
      </c>
      <c r="N38" s="11">
        <f>K38/F38</f>
        <v>0.45764362220058424</v>
      </c>
      <c r="O38" s="12">
        <v>33</v>
      </c>
      <c r="P38" s="14">
        <v>0</v>
      </c>
      <c r="Q38" s="15">
        <v>0</v>
      </c>
      <c r="R38" s="11">
        <f>Q38/SUM(Q$2:Q$49)</f>
        <v>0</v>
      </c>
      <c r="S38" s="12">
        <v>0</v>
      </c>
      <c r="T38" s="15">
        <v>0</v>
      </c>
      <c r="U38" s="12">
        <v>0</v>
      </c>
      <c r="V38" s="15">
        <f>SUM(E38,H38,J38,M38,O38,S38,U38)</f>
        <v>115</v>
      </c>
      <c r="W38" s="15">
        <v>37</v>
      </c>
    </row>
    <row r="39" spans="1:23" ht="24.75" customHeight="1" x14ac:dyDescent="0.25">
      <c r="A39" s="8" t="s">
        <v>38</v>
      </c>
      <c r="B39" s="9">
        <v>38132</v>
      </c>
      <c r="C39" s="10">
        <v>1113</v>
      </c>
      <c r="D39" s="11">
        <f>C39/B39</f>
        <v>2.9188083499423055E-2</v>
      </c>
      <c r="E39" s="12">
        <v>16</v>
      </c>
      <c r="F39" s="15">
        <v>519</v>
      </c>
      <c r="G39" s="11">
        <f>F39/C39</f>
        <v>0.46630727762803237</v>
      </c>
      <c r="H39" s="12">
        <v>9</v>
      </c>
      <c r="I39" s="11">
        <f>F39/B39</f>
        <v>1.3610615755795656E-2</v>
      </c>
      <c r="J39" s="12">
        <v>11</v>
      </c>
      <c r="K39" s="13">
        <f>73+73+24</f>
        <v>170</v>
      </c>
      <c r="L39" s="11">
        <f>K39/B39</f>
        <v>4.4581978390852827E-3</v>
      </c>
      <c r="M39" s="12">
        <v>12</v>
      </c>
      <c r="N39" s="11">
        <f>K39/F39</f>
        <v>0.32755298651252407</v>
      </c>
      <c r="O39" s="12">
        <v>21</v>
      </c>
      <c r="P39" s="14">
        <v>2</v>
      </c>
      <c r="Q39" s="15">
        <f>B39/P39</f>
        <v>19066</v>
      </c>
      <c r="R39" s="11">
        <f>Q39/SUM(Q$2:Q$49)</f>
        <v>3.3236946691535596E-2</v>
      </c>
      <c r="S39" s="12">
        <v>40</v>
      </c>
      <c r="T39" s="15">
        <v>0</v>
      </c>
      <c r="U39" s="12">
        <v>0</v>
      </c>
      <c r="V39" s="15">
        <f>SUM(E39,H39,J39,M39,O39,S39,U39)</f>
        <v>109</v>
      </c>
      <c r="W39" s="15">
        <v>38</v>
      </c>
    </row>
    <row r="40" spans="1:23" ht="24.75" customHeight="1" x14ac:dyDescent="0.25">
      <c r="A40" s="8" t="s">
        <v>46</v>
      </c>
      <c r="B40" s="9">
        <v>134474</v>
      </c>
      <c r="C40" s="15">
        <v>1923</v>
      </c>
      <c r="D40" s="11">
        <f>C40/B40</f>
        <v>1.4300162113122239E-2</v>
      </c>
      <c r="E40" s="12">
        <v>5</v>
      </c>
      <c r="F40" s="15">
        <v>1131</v>
      </c>
      <c r="G40" s="11">
        <f>F40/C40</f>
        <v>0.58814352574102968</v>
      </c>
      <c r="H40" s="12">
        <v>16</v>
      </c>
      <c r="I40" s="11">
        <f>F40/B40</f>
        <v>8.410547763880007E-3</v>
      </c>
      <c r="J40" s="12">
        <v>6</v>
      </c>
      <c r="K40" s="13">
        <f>265+65+4+102</f>
        <v>436</v>
      </c>
      <c r="L40" s="11">
        <f>K40/B40</f>
        <v>3.2422624447848653E-3</v>
      </c>
      <c r="M40" s="12">
        <v>10</v>
      </c>
      <c r="N40" s="11">
        <f>K40/F40</f>
        <v>0.385499557913351</v>
      </c>
      <c r="O40" s="12">
        <v>25</v>
      </c>
      <c r="P40" s="14">
        <v>3</v>
      </c>
      <c r="Q40" s="15">
        <f>B40/P40</f>
        <v>44824.666666666664</v>
      </c>
      <c r="R40" s="11">
        <f>Q40/SUM(Q$2:Q$49)</f>
        <v>7.8140934462700748E-2</v>
      </c>
      <c r="S40" s="12">
        <v>30</v>
      </c>
      <c r="T40" s="15">
        <v>0</v>
      </c>
      <c r="U40" s="12">
        <v>0</v>
      </c>
      <c r="V40" s="15">
        <f>SUM(E40,H40,J40,M40,O40,S40,U40)</f>
        <v>92</v>
      </c>
      <c r="W40" s="15">
        <v>39</v>
      </c>
    </row>
    <row r="41" spans="1:23" ht="24.75" customHeight="1" x14ac:dyDescent="0.25">
      <c r="A41" s="8" t="s">
        <v>32</v>
      </c>
      <c r="B41" s="9">
        <v>67725</v>
      </c>
      <c r="C41" s="10">
        <v>2142</v>
      </c>
      <c r="D41" s="11">
        <f>C41/B41</f>
        <v>3.1627906976744183E-2</v>
      </c>
      <c r="E41" s="12">
        <v>23</v>
      </c>
      <c r="F41" s="15">
        <v>887</v>
      </c>
      <c r="G41" s="11">
        <f>F41/C41</f>
        <v>0.41409897292250236</v>
      </c>
      <c r="H41" s="12">
        <v>7</v>
      </c>
      <c r="I41" s="11">
        <f>F41/B41</f>
        <v>1.3097083794758213E-2</v>
      </c>
      <c r="J41" s="12">
        <v>10</v>
      </c>
      <c r="K41" s="13">
        <f>71+94+24</f>
        <v>189</v>
      </c>
      <c r="L41" s="11">
        <f>K41/B41</f>
        <v>2.7906976744186047E-3</v>
      </c>
      <c r="M41" s="12">
        <v>9</v>
      </c>
      <c r="N41" s="11">
        <f>K41/F41</f>
        <v>0.21307779030439683</v>
      </c>
      <c r="O41" s="12">
        <v>9</v>
      </c>
      <c r="P41" s="14">
        <v>2</v>
      </c>
      <c r="Q41" s="15">
        <f>B41/P41</f>
        <v>33862.5</v>
      </c>
      <c r="R41" s="11">
        <f>Q41/SUM(Q$2:Q$49)</f>
        <v>5.9031055666743104E-2</v>
      </c>
      <c r="S41" s="12">
        <v>33</v>
      </c>
      <c r="T41" s="15">
        <v>0</v>
      </c>
      <c r="U41" s="12">
        <v>0</v>
      </c>
      <c r="V41" s="15">
        <f>SUM(E41,H41,J41,M41,O41,S41,U41)</f>
        <v>91</v>
      </c>
      <c r="W41" s="15">
        <v>40</v>
      </c>
    </row>
    <row r="42" spans="1:23" ht="24.75" customHeight="1" x14ac:dyDescent="0.25">
      <c r="A42" s="8" t="s">
        <v>45</v>
      </c>
      <c r="B42" s="9">
        <v>16166</v>
      </c>
      <c r="C42" s="10">
        <v>303</v>
      </c>
      <c r="D42" s="11">
        <f>C42/B42</f>
        <v>1.8743040950142273E-2</v>
      </c>
      <c r="E42" s="12">
        <v>9</v>
      </c>
      <c r="F42" s="15">
        <v>60</v>
      </c>
      <c r="G42" s="11">
        <f>F42/C42</f>
        <v>0.19801980198019803</v>
      </c>
      <c r="H42" s="12">
        <v>1</v>
      </c>
      <c r="I42" s="11">
        <f>F42/B42</f>
        <v>3.7114932574539156E-3</v>
      </c>
      <c r="J42" s="12">
        <v>3</v>
      </c>
      <c r="K42" s="13">
        <f>15+8+2</f>
        <v>25</v>
      </c>
      <c r="L42" s="11">
        <f>K42/B42</f>
        <v>1.5464555239391314E-3</v>
      </c>
      <c r="M42" s="12">
        <v>3</v>
      </c>
      <c r="N42" s="11">
        <f>K42/F42</f>
        <v>0.41666666666666669</v>
      </c>
      <c r="O42" s="12">
        <v>28</v>
      </c>
      <c r="P42" s="14">
        <v>0</v>
      </c>
      <c r="Q42" s="15">
        <v>0</v>
      </c>
      <c r="R42" s="11">
        <f>Q42/SUM(Q$2:Q$49)</f>
        <v>0</v>
      </c>
      <c r="S42" s="12">
        <v>0</v>
      </c>
      <c r="T42" s="15">
        <v>10</v>
      </c>
      <c r="U42" s="12">
        <v>43</v>
      </c>
      <c r="V42" s="15">
        <f>SUM(E42,H42,J42,M42,O42,S42,U42)</f>
        <v>87</v>
      </c>
      <c r="W42" s="15">
        <v>41</v>
      </c>
    </row>
    <row r="43" spans="1:23" ht="24.75" customHeight="1" x14ac:dyDescent="0.25">
      <c r="A43" s="8" t="s">
        <v>40</v>
      </c>
      <c r="B43" s="9">
        <v>15154</v>
      </c>
      <c r="C43" s="10">
        <v>393</v>
      </c>
      <c r="D43" s="11">
        <f>C43/B43</f>
        <v>2.5933746865514057E-2</v>
      </c>
      <c r="E43" s="12">
        <v>14</v>
      </c>
      <c r="F43" s="15">
        <v>333</v>
      </c>
      <c r="G43" s="11">
        <f>F43/C43</f>
        <v>0.84732824427480913</v>
      </c>
      <c r="H43" s="12">
        <v>29</v>
      </c>
      <c r="I43" s="11">
        <f>F43/B43</f>
        <v>2.197439619902336E-2</v>
      </c>
      <c r="J43" s="12">
        <v>23</v>
      </c>
      <c r="K43" s="13">
        <f>18+19+6+26</f>
        <v>69</v>
      </c>
      <c r="L43" s="11">
        <f>K43/B43</f>
        <v>4.5532532664642996E-3</v>
      </c>
      <c r="M43" s="12">
        <v>13</v>
      </c>
      <c r="N43" s="11">
        <f>K43/F43</f>
        <v>0.2072072072072072</v>
      </c>
      <c r="O43" s="12">
        <v>8</v>
      </c>
      <c r="P43" s="14">
        <v>0</v>
      </c>
      <c r="Q43" s="15">
        <v>0</v>
      </c>
      <c r="R43" s="11">
        <f>Q43/SUM(Q$2:Q$49)</f>
        <v>0</v>
      </c>
      <c r="S43" s="12">
        <v>0</v>
      </c>
      <c r="T43" s="15">
        <v>0</v>
      </c>
      <c r="U43" s="12">
        <v>0</v>
      </c>
      <c r="V43" s="15">
        <f>SUM(E43,H43,J43,M43,O43,S43,U43)</f>
        <v>87</v>
      </c>
      <c r="W43" s="15">
        <v>41</v>
      </c>
    </row>
    <row r="44" spans="1:23" ht="24.75" customHeight="1" x14ac:dyDescent="0.25">
      <c r="A44" s="8" t="s">
        <v>29</v>
      </c>
      <c r="B44" s="9">
        <v>51259</v>
      </c>
      <c r="C44" s="15">
        <v>1511</v>
      </c>
      <c r="D44" s="11">
        <f>C44/B44</f>
        <v>2.9477750248736806E-2</v>
      </c>
      <c r="E44" s="12">
        <v>17</v>
      </c>
      <c r="F44" s="15">
        <v>971</v>
      </c>
      <c r="G44" s="11">
        <f>F44/C44</f>
        <v>0.64262078093977504</v>
      </c>
      <c r="H44" s="12">
        <v>18</v>
      </c>
      <c r="I44" s="11">
        <f>F44/B44</f>
        <v>1.8943014885190894E-2</v>
      </c>
      <c r="J44" s="12">
        <v>18</v>
      </c>
      <c r="K44" s="13">
        <f>252+37+27</f>
        <v>316</v>
      </c>
      <c r="L44" s="11">
        <f>K44/B44</f>
        <v>6.1647710645935348E-3</v>
      </c>
      <c r="M44" s="12">
        <v>15</v>
      </c>
      <c r="N44" s="11">
        <f>K44/F44</f>
        <v>0.32543769309989701</v>
      </c>
      <c r="O44" s="12">
        <v>19</v>
      </c>
      <c r="P44" s="14">
        <v>0</v>
      </c>
      <c r="Q44" s="15">
        <v>0</v>
      </c>
      <c r="R44" s="11">
        <f>Q44/SUM(Q$2:Q$49)</f>
        <v>0</v>
      </c>
      <c r="S44" s="12">
        <v>0</v>
      </c>
      <c r="T44" s="15">
        <v>0</v>
      </c>
      <c r="U44" s="12">
        <v>0</v>
      </c>
      <c r="V44" s="15">
        <f>SUM(E44,H44,J44,M44,O44,S44,U44)</f>
        <v>87</v>
      </c>
      <c r="W44" s="15">
        <v>41</v>
      </c>
    </row>
    <row r="45" spans="1:23" ht="24.75" customHeight="1" x14ac:dyDescent="0.25">
      <c r="A45" s="8" t="s">
        <v>43</v>
      </c>
      <c r="B45" s="9">
        <v>25956</v>
      </c>
      <c r="C45" s="10">
        <v>394</v>
      </c>
      <c r="D45" s="11">
        <f>C45/B45</f>
        <v>1.5179534597010325E-2</v>
      </c>
      <c r="E45" s="12">
        <v>6</v>
      </c>
      <c r="F45" s="15">
        <v>193</v>
      </c>
      <c r="G45" s="11">
        <f>F45/C45</f>
        <v>0.48984771573604063</v>
      </c>
      <c r="H45" s="12">
        <v>11</v>
      </c>
      <c r="I45" s="11">
        <f>F45/B45</f>
        <v>7.4356603482817075E-3</v>
      </c>
      <c r="J45" s="12">
        <v>5</v>
      </c>
      <c r="K45" s="13">
        <f>98+24+44</f>
        <v>166</v>
      </c>
      <c r="L45" s="11">
        <f>K45/B45</f>
        <v>6.3954384342733853E-3</v>
      </c>
      <c r="M45" s="12">
        <v>16</v>
      </c>
      <c r="N45" s="11">
        <f>K45/F45</f>
        <v>0.86010362694300513</v>
      </c>
      <c r="O45" s="12">
        <v>47</v>
      </c>
      <c r="P45" s="15">
        <v>0</v>
      </c>
      <c r="Q45" s="15">
        <v>0</v>
      </c>
      <c r="R45" s="11">
        <f>Q45/SUM(Q$2:Q$49)</f>
        <v>0</v>
      </c>
      <c r="S45" s="12">
        <v>0</v>
      </c>
      <c r="T45" s="15">
        <v>0</v>
      </c>
      <c r="U45" s="12">
        <v>0</v>
      </c>
      <c r="V45" s="15">
        <f>SUM(E45,H45,J45,M45,O45,S45,U45)</f>
        <v>85</v>
      </c>
      <c r="W45" s="15">
        <v>44</v>
      </c>
    </row>
    <row r="46" spans="1:23" ht="24.75" customHeight="1" x14ac:dyDescent="0.25">
      <c r="A46" s="8" t="s">
        <v>51</v>
      </c>
      <c r="B46" s="9">
        <v>25369</v>
      </c>
      <c r="C46" s="10">
        <v>294</v>
      </c>
      <c r="D46" s="11">
        <f>C46/B46</f>
        <v>1.1588947140210493E-2</v>
      </c>
      <c r="E46" s="12">
        <v>4</v>
      </c>
      <c r="F46" s="15">
        <v>140</v>
      </c>
      <c r="G46" s="11">
        <f>F46/C46</f>
        <v>0.47619047619047616</v>
      </c>
      <c r="H46" s="12">
        <v>10</v>
      </c>
      <c r="I46" s="11">
        <f>F46/B46</f>
        <v>5.5185462572430923E-3</v>
      </c>
      <c r="J46" s="12">
        <v>4</v>
      </c>
      <c r="K46" s="13">
        <f>16+25+7</f>
        <v>48</v>
      </c>
      <c r="L46" s="11">
        <f>K46/B46</f>
        <v>1.8920730024833458E-3</v>
      </c>
      <c r="M46" s="12">
        <v>4</v>
      </c>
      <c r="N46" s="11">
        <f>K46/F46</f>
        <v>0.34285714285714286</v>
      </c>
      <c r="O46" s="12">
        <v>23</v>
      </c>
      <c r="P46" s="14">
        <v>0</v>
      </c>
      <c r="Q46" s="15">
        <v>0</v>
      </c>
      <c r="R46" s="11">
        <f>Q46/SUM(Q$2:Q$49)</f>
        <v>0</v>
      </c>
      <c r="S46" s="12">
        <v>0</v>
      </c>
      <c r="T46" s="15">
        <v>1</v>
      </c>
      <c r="U46" s="12">
        <v>24</v>
      </c>
      <c r="V46" s="15">
        <f>SUM(E46,H46,J46,M46,O46,S46,U46)</f>
        <v>69</v>
      </c>
      <c r="W46" s="15">
        <v>45</v>
      </c>
    </row>
    <row r="47" spans="1:23" ht="24.75" customHeight="1" x14ac:dyDescent="0.25">
      <c r="A47" s="8" t="s">
        <v>47</v>
      </c>
      <c r="B47" s="9">
        <v>20343</v>
      </c>
      <c r="C47" s="15">
        <v>222</v>
      </c>
      <c r="D47" s="11">
        <f>C47/B47</f>
        <v>1.0912844713169148E-2</v>
      </c>
      <c r="E47" s="12">
        <v>3</v>
      </c>
      <c r="F47" s="15">
        <v>49</v>
      </c>
      <c r="G47" s="11">
        <f>F47/C47</f>
        <v>0.22072072072072071</v>
      </c>
      <c r="H47" s="12">
        <v>2</v>
      </c>
      <c r="I47" s="11">
        <f>F47/B47</f>
        <v>2.4086909502040012E-3</v>
      </c>
      <c r="J47" s="12">
        <v>1</v>
      </c>
      <c r="K47" s="13">
        <f>0+41</f>
        <v>41</v>
      </c>
      <c r="L47" s="11">
        <f>K47/B47</f>
        <v>2.0154352848645728E-3</v>
      </c>
      <c r="M47" s="12">
        <v>5</v>
      </c>
      <c r="N47" s="11">
        <f>K47/F47</f>
        <v>0.83673469387755106</v>
      </c>
      <c r="O47" s="12">
        <v>45</v>
      </c>
      <c r="P47" s="15">
        <v>0</v>
      </c>
      <c r="Q47" s="15">
        <v>0</v>
      </c>
      <c r="R47" s="11">
        <f>Q47/SUM(Q$2:Q$49)</f>
        <v>0</v>
      </c>
      <c r="S47" s="12">
        <v>0</v>
      </c>
      <c r="T47" s="15">
        <v>0</v>
      </c>
      <c r="U47" s="12">
        <v>0</v>
      </c>
      <c r="V47" s="15">
        <f>SUM(E47,H47,J47,M47,O47,S47,U47)</f>
        <v>56</v>
      </c>
      <c r="W47" s="15">
        <v>46</v>
      </c>
    </row>
    <row r="48" spans="1:23" ht="24.75" customHeight="1" x14ac:dyDescent="0.25">
      <c r="A48" s="8" t="s">
        <v>37</v>
      </c>
      <c r="B48" s="9">
        <v>7554</v>
      </c>
      <c r="C48" s="15">
        <v>159</v>
      </c>
      <c r="D48" s="11">
        <f>C48/B48</f>
        <v>2.1048451151707705E-2</v>
      </c>
      <c r="E48" s="12">
        <v>11</v>
      </c>
      <c r="F48" s="15">
        <v>86</v>
      </c>
      <c r="G48" s="11">
        <f>F48/C48</f>
        <v>0.54088050314465408</v>
      </c>
      <c r="H48" s="12">
        <v>15</v>
      </c>
      <c r="I48" s="11">
        <f>F48/B48</f>
        <v>1.1384696849351337E-2</v>
      </c>
      <c r="J48" s="12">
        <v>9</v>
      </c>
      <c r="K48" s="13">
        <f>2+4+6+5</f>
        <v>17</v>
      </c>
      <c r="L48" s="11">
        <f>K48/B48</f>
        <v>2.2504633306857295E-3</v>
      </c>
      <c r="M48" s="12">
        <v>6</v>
      </c>
      <c r="N48" s="11">
        <f>K48/F48</f>
        <v>0.19767441860465115</v>
      </c>
      <c r="O48" s="12">
        <v>7</v>
      </c>
      <c r="P48" s="14">
        <v>0</v>
      </c>
      <c r="Q48" s="15">
        <v>0</v>
      </c>
      <c r="R48" s="11">
        <f>Q48/SUM(Q$2:Q$49)</f>
        <v>0</v>
      </c>
      <c r="S48" s="12">
        <v>0</v>
      </c>
      <c r="T48" s="15">
        <v>0</v>
      </c>
      <c r="U48" s="12">
        <v>0</v>
      </c>
      <c r="V48" s="15">
        <f>SUM(E48,H48,J48,M48,O48,S48,U48)</f>
        <v>48</v>
      </c>
      <c r="W48" s="15">
        <v>47</v>
      </c>
    </row>
    <row r="49" spans="1:23" ht="24.75" customHeight="1" x14ac:dyDescent="0.25">
      <c r="A49" s="8" t="s">
        <v>44</v>
      </c>
      <c r="B49" s="9">
        <v>9225</v>
      </c>
      <c r="C49" s="15">
        <v>147</v>
      </c>
      <c r="D49" s="11">
        <f>C49/B49</f>
        <v>1.5934959349593495E-2</v>
      </c>
      <c r="E49" s="12">
        <v>8</v>
      </c>
      <c r="F49" s="15">
        <f>0+97</f>
        <v>97</v>
      </c>
      <c r="G49" s="11">
        <f>F49/C49</f>
        <v>0.65986394557823125</v>
      </c>
      <c r="H49" s="12">
        <v>19</v>
      </c>
      <c r="I49" s="11">
        <f>F49/B49</f>
        <v>1.0514905149051491E-2</v>
      </c>
      <c r="J49" s="12">
        <v>8</v>
      </c>
      <c r="K49" s="13">
        <f>0+8</f>
        <v>8</v>
      </c>
      <c r="L49" s="11">
        <f>K49/B49</f>
        <v>8.6720867208672087E-4</v>
      </c>
      <c r="M49" s="12">
        <v>2</v>
      </c>
      <c r="N49" s="11">
        <f>K49/F49</f>
        <v>8.247422680412371E-2</v>
      </c>
      <c r="O49" s="12">
        <v>1</v>
      </c>
      <c r="P49" s="14">
        <v>0</v>
      </c>
      <c r="Q49" s="15">
        <v>0</v>
      </c>
      <c r="R49" s="11">
        <f>Q49/SUM(Q$2:Q$49)</f>
        <v>0</v>
      </c>
      <c r="S49" s="12">
        <v>0</v>
      </c>
      <c r="T49" s="15">
        <v>0</v>
      </c>
      <c r="U49" s="12">
        <v>0</v>
      </c>
      <c r="V49" s="15">
        <f>SUM(E49,H49,J49,M49,O49,S49,U49)</f>
        <v>38</v>
      </c>
      <c r="W49" s="15">
        <v>48</v>
      </c>
    </row>
    <row r="50" spans="1:23" ht="24" customHeight="1" x14ac:dyDescent="0.2"/>
    <row r="52" spans="1:23" x14ac:dyDescent="0.2">
      <c r="R52" s="6"/>
    </row>
  </sheetData>
  <autoFilter ref="A1:W49">
    <sortState ref="A2:W49">
      <sortCondition descending="1" ref="V1:V49"/>
    </sortState>
  </autoFilter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6" workbookViewId="0">
      <selection sqref="A1:C48"/>
    </sheetView>
  </sheetViews>
  <sheetFormatPr defaultRowHeight="15" x14ac:dyDescent="0.25"/>
  <cols>
    <col min="1" max="1" width="12.28515625" customWidth="1"/>
    <col min="2" max="2" width="0" hidden="1" customWidth="1"/>
  </cols>
  <sheetData>
    <row r="1" spans="1:3" ht="38.25" x14ac:dyDescent="0.25">
      <c r="A1" s="1" t="s">
        <v>52</v>
      </c>
      <c r="B1" s="2"/>
      <c r="C1" s="3">
        <v>41</v>
      </c>
    </row>
    <row r="2" spans="1:3" ht="38.25" x14ac:dyDescent="0.25">
      <c r="A2" s="1" t="s">
        <v>44</v>
      </c>
      <c r="B2" s="2"/>
      <c r="C2" s="3">
        <v>131</v>
      </c>
    </row>
    <row r="3" spans="1:3" ht="38.25" x14ac:dyDescent="0.25">
      <c r="A3" s="1" t="s">
        <v>30</v>
      </c>
      <c r="B3" s="2"/>
      <c r="C3" s="3">
        <v>168</v>
      </c>
    </row>
    <row r="4" spans="1:3" ht="38.25" x14ac:dyDescent="0.25">
      <c r="A4" s="1" t="s">
        <v>37</v>
      </c>
      <c r="B4" s="2"/>
      <c r="C4" s="3">
        <v>179</v>
      </c>
    </row>
    <row r="5" spans="1:3" ht="38.25" x14ac:dyDescent="0.25">
      <c r="A5" s="1" t="s">
        <v>49</v>
      </c>
      <c r="B5" s="2"/>
      <c r="C5" s="3">
        <v>183</v>
      </c>
    </row>
    <row r="6" spans="1:3" ht="51" x14ac:dyDescent="0.25">
      <c r="A6" s="1" t="s">
        <v>50</v>
      </c>
      <c r="B6" s="2"/>
      <c r="C6" s="3">
        <v>214</v>
      </c>
    </row>
    <row r="7" spans="1:3" ht="38.25" x14ac:dyDescent="0.25">
      <c r="A7" s="1" t="s">
        <v>45</v>
      </c>
      <c r="B7" s="2"/>
      <c r="C7" s="3">
        <v>226</v>
      </c>
    </row>
    <row r="8" spans="1:3" ht="38.25" x14ac:dyDescent="0.25">
      <c r="A8" s="1" t="s">
        <v>51</v>
      </c>
      <c r="B8" s="2"/>
      <c r="C8" s="3">
        <v>233</v>
      </c>
    </row>
    <row r="9" spans="1:3" ht="38.25" x14ac:dyDescent="0.25">
      <c r="A9" s="1" t="s">
        <v>48</v>
      </c>
      <c r="B9" s="2"/>
      <c r="C9" s="3">
        <v>236</v>
      </c>
    </row>
    <row r="10" spans="1:3" ht="51" x14ac:dyDescent="0.25">
      <c r="A10" s="1" t="s">
        <v>36</v>
      </c>
      <c r="B10" s="2"/>
      <c r="C10" s="3">
        <v>249</v>
      </c>
    </row>
    <row r="11" spans="1:3" ht="51" x14ac:dyDescent="0.25">
      <c r="A11" s="1" t="s">
        <v>47</v>
      </c>
      <c r="B11" s="2"/>
      <c r="C11" s="3">
        <v>264</v>
      </c>
    </row>
    <row r="12" spans="1:3" ht="38.25" x14ac:dyDescent="0.25">
      <c r="A12" s="1" t="s">
        <v>27</v>
      </c>
      <c r="B12" s="2"/>
      <c r="C12" s="3">
        <v>281</v>
      </c>
    </row>
    <row r="13" spans="1:3" ht="38.25" x14ac:dyDescent="0.25">
      <c r="A13" s="1" t="s">
        <v>40</v>
      </c>
      <c r="B13" s="2"/>
      <c r="C13" s="3">
        <v>296</v>
      </c>
    </row>
    <row r="14" spans="1:3" ht="51" x14ac:dyDescent="0.25">
      <c r="A14" s="1" t="s">
        <v>28</v>
      </c>
      <c r="B14" s="2"/>
      <c r="C14" s="3">
        <v>360</v>
      </c>
    </row>
    <row r="15" spans="1:3" ht="51" x14ac:dyDescent="0.25">
      <c r="A15" s="1" t="s">
        <v>43</v>
      </c>
      <c r="B15" s="2"/>
      <c r="C15" s="3">
        <v>394</v>
      </c>
    </row>
    <row r="16" spans="1:3" ht="38.25" x14ac:dyDescent="0.25">
      <c r="A16" s="1" t="s">
        <v>31</v>
      </c>
      <c r="B16" s="2"/>
      <c r="C16" s="3">
        <v>414</v>
      </c>
    </row>
    <row r="17" spans="1:3" ht="38.25" x14ac:dyDescent="0.25">
      <c r="A17" s="1" t="s">
        <v>39</v>
      </c>
      <c r="B17" s="2"/>
      <c r="C17" s="3">
        <v>431</v>
      </c>
    </row>
    <row r="18" spans="1:3" ht="25.5" x14ac:dyDescent="0.25">
      <c r="A18" s="1" t="s">
        <v>56</v>
      </c>
      <c r="B18" s="2"/>
      <c r="C18" s="3">
        <v>441</v>
      </c>
    </row>
    <row r="19" spans="1:3" ht="51" x14ac:dyDescent="0.25">
      <c r="A19" s="1" t="s">
        <v>35</v>
      </c>
      <c r="B19" s="2"/>
      <c r="C19" s="3">
        <v>455</v>
      </c>
    </row>
    <row r="20" spans="1:3" ht="38.25" x14ac:dyDescent="0.25">
      <c r="A20" s="1" t="s">
        <v>22</v>
      </c>
      <c r="B20" s="2"/>
      <c r="C20" s="3">
        <v>484</v>
      </c>
    </row>
    <row r="21" spans="1:3" ht="38.25" x14ac:dyDescent="0.25">
      <c r="A21" s="1" t="s">
        <v>17</v>
      </c>
      <c r="B21" s="2"/>
      <c r="C21" s="3">
        <v>525</v>
      </c>
    </row>
    <row r="22" spans="1:3" ht="38.25" x14ac:dyDescent="0.25">
      <c r="A22" s="1" t="s">
        <v>23</v>
      </c>
      <c r="B22" s="2"/>
      <c r="C22" s="3">
        <v>569</v>
      </c>
    </row>
    <row r="23" spans="1:3" ht="38.25" x14ac:dyDescent="0.25">
      <c r="A23" s="1" t="s">
        <v>34</v>
      </c>
      <c r="B23" s="2"/>
      <c r="C23" s="3">
        <v>597</v>
      </c>
    </row>
    <row r="24" spans="1:3" ht="38.25" x14ac:dyDescent="0.25">
      <c r="A24" s="1" t="s">
        <v>25</v>
      </c>
      <c r="B24" s="2"/>
      <c r="C24" s="3">
        <v>615</v>
      </c>
    </row>
    <row r="25" spans="1:3" ht="38.25" x14ac:dyDescent="0.25">
      <c r="A25" s="1" t="s">
        <v>18</v>
      </c>
      <c r="B25" s="2"/>
      <c r="C25" s="3">
        <v>687</v>
      </c>
    </row>
    <row r="26" spans="1:3" ht="38.25" x14ac:dyDescent="0.25">
      <c r="A26" s="1" t="s">
        <v>13</v>
      </c>
      <c r="B26" s="2"/>
      <c r="C26" s="3">
        <v>736</v>
      </c>
    </row>
    <row r="27" spans="1:3" ht="38.25" x14ac:dyDescent="0.25">
      <c r="A27" s="1" t="s">
        <v>41</v>
      </c>
      <c r="B27" s="2"/>
      <c r="C27" s="3">
        <v>745</v>
      </c>
    </row>
    <row r="28" spans="1:3" ht="38.25" x14ac:dyDescent="0.25">
      <c r="A28" s="1" t="s">
        <v>16</v>
      </c>
      <c r="B28" s="2"/>
      <c r="C28" s="3">
        <v>748</v>
      </c>
    </row>
    <row r="29" spans="1:3" ht="38.25" x14ac:dyDescent="0.25">
      <c r="A29" s="1" t="s">
        <v>24</v>
      </c>
      <c r="B29" s="2"/>
      <c r="C29" s="3">
        <v>873</v>
      </c>
    </row>
    <row r="30" spans="1:3" ht="38.25" x14ac:dyDescent="0.25">
      <c r="A30" s="1" t="s">
        <v>38</v>
      </c>
      <c r="B30" s="2"/>
      <c r="C30" s="3">
        <v>886</v>
      </c>
    </row>
    <row r="31" spans="1:3" ht="38.25" x14ac:dyDescent="0.25">
      <c r="A31" s="1" t="s">
        <v>12</v>
      </c>
      <c r="B31" s="2"/>
      <c r="C31" s="3">
        <v>914</v>
      </c>
    </row>
    <row r="32" spans="1:3" ht="38.25" x14ac:dyDescent="0.25">
      <c r="A32" s="1" t="s">
        <v>20</v>
      </c>
      <c r="B32" s="2"/>
      <c r="C32" s="3">
        <v>975</v>
      </c>
    </row>
    <row r="33" spans="1:3" ht="51" x14ac:dyDescent="0.25">
      <c r="A33" s="1" t="s">
        <v>33</v>
      </c>
      <c r="B33" s="2"/>
      <c r="C33" s="3">
        <v>1240</v>
      </c>
    </row>
    <row r="34" spans="1:3" ht="38.25" x14ac:dyDescent="0.25">
      <c r="A34" s="1" t="s">
        <v>11</v>
      </c>
      <c r="B34" s="2"/>
      <c r="C34" s="3">
        <v>1295</v>
      </c>
    </row>
    <row r="35" spans="1:3" ht="38.25" x14ac:dyDescent="0.25">
      <c r="A35" s="1" t="s">
        <v>10</v>
      </c>
      <c r="B35" s="2"/>
      <c r="C35" s="3">
        <v>1349</v>
      </c>
    </row>
    <row r="36" spans="1:3" x14ac:dyDescent="0.25">
      <c r="A36" s="1" t="s">
        <v>57</v>
      </c>
      <c r="B36" s="2"/>
      <c r="C36" s="3">
        <v>1475</v>
      </c>
    </row>
    <row r="37" spans="1:3" ht="38.25" x14ac:dyDescent="0.25">
      <c r="A37" s="1" t="s">
        <v>15</v>
      </c>
      <c r="B37" s="2"/>
      <c r="C37" s="3">
        <v>1587</v>
      </c>
    </row>
    <row r="38" spans="1:3" ht="38.25" x14ac:dyDescent="0.25">
      <c r="A38" s="1" t="s">
        <v>29</v>
      </c>
      <c r="B38" s="4"/>
      <c r="C38" s="3">
        <v>1591</v>
      </c>
    </row>
    <row r="39" spans="1:3" ht="51" x14ac:dyDescent="0.25">
      <c r="A39" s="1" t="s">
        <v>19</v>
      </c>
      <c r="B39" s="2"/>
      <c r="C39" s="3">
        <v>1725</v>
      </c>
    </row>
    <row r="40" spans="1:3" ht="51" x14ac:dyDescent="0.25">
      <c r="A40" s="1" t="s">
        <v>46</v>
      </c>
      <c r="B40" s="2"/>
      <c r="C40" s="3">
        <v>1749</v>
      </c>
    </row>
    <row r="41" spans="1:3" ht="38.25" x14ac:dyDescent="0.25">
      <c r="A41" s="1" t="s">
        <v>42</v>
      </c>
      <c r="B41" s="2"/>
      <c r="C41" s="3">
        <v>1788</v>
      </c>
    </row>
    <row r="42" spans="1:3" ht="51" x14ac:dyDescent="0.25">
      <c r="A42" s="1" t="s">
        <v>32</v>
      </c>
      <c r="B42" s="2"/>
      <c r="C42" s="3">
        <v>1860</v>
      </c>
    </row>
    <row r="43" spans="1:3" ht="38.25" x14ac:dyDescent="0.25">
      <c r="A43" s="1" t="s">
        <v>26</v>
      </c>
      <c r="B43" s="2"/>
      <c r="C43" s="3">
        <v>2142</v>
      </c>
    </row>
    <row r="44" spans="1:3" ht="25.5" x14ac:dyDescent="0.25">
      <c r="A44" s="1" t="s">
        <v>58</v>
      </c>
      <c r="B44" s="2"/>
      <c r="C44" s="3">
        <v>2384</v>
      </c>
    </row>
    <row r="45" spans="1:3" ht="25.5" x14ac:dyDescent="0.25">
      <c r="A45" s="1" t="s">
        <v>55</v>
      </c>
      <c r="B45" s="2"/>
      <c r="C45" s="3">
        <v>2422</v>
      </c>
    </row>
    <row r="46" spans="1:3" ht="38.25" x14ac:dyDescent="0.25">
      <c r="A46" s="1" t="s">
        <v>21</v>
      </c>
      <c r="B46" s="2"/>
      <c r="C46" s="3">
        <v>4129</v>
      </c>
    </row>
    <row r="47" spans="1:3" ht="38.25" x14ac:dyDescent="0.25">
      <c r="A47" s="1" t="s">
        <v>14</v>
      </c>
      <c r="B47" s="2"/>
      <c r="C47" s="3">
        <v>4187</v>
      </c>
    </row>
    <row r="48" spans="1:3" x14ac:dyDescent="0.25">
      <c r="A48" s="1" t="s">
        <v>54</v>
      </c>
      <c r="B48" s="2"/>
      <c r="C48" s="3">
        <v>16487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2018-08-29T14:40:09Z</dcterms:modified>
</cp:coreProperties>
</file>